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Teaching\FMBA Alternative Investments\Lecture Notes - New\"/>
    </mc:Choice>
  </mc:AlternateContent>
  <bookViews>
    <workbookView xWindow="0" yWindow="0" windowWidth="16095" windowHeight="11100"/>
  </bookViews>
  <sheets>
    <sheet name="LBOModel" sheetId="1" r:id="rId1"/>
    <sheet name="LBOModel - no deb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3" i="2" l="1"/>
  <c r="J94" i="2"/>
  <c r="J92" i="1"/>
  <c r="J93" i="1"/>
  <c r="J96" i="2" l="1"/>
  <c r="F76" i="2"/>
  <c r="E85" i="2"/>
  <c r="J50" i="2"/>
  <c r="J56" i="2" s="1"/>
  <c r="I50" i="2"/>
  <c r="I56" i="2" s="1"/>
  <c r="H50" i="2"/>
  <c r="H56" i="2" s="1"/>
  <c r="G50" i="2"/>
  <c r="G56" i="2" s="1"/>
  <c r="F50" i="2"/>
  <c r="F56" i="2" s="1"/>
  <c r="F26" i="2"/>
  <c r="F49" i="2" s="1"/>
  <c r="F55" i="2" s="1"/>
  <c r="C10" i="2"/>
  <c r="D10" i="2" s="1"/>
  <c r="Q9" i="2"/>
  <c r="N9" i="2"/>
  <c r="N11" i="2" s="1"/>
  <c r="O11" i="2" s="1"/>
  <c r="O8" i="2"/>
  <c r="C8" i="2"/>
  <c r="O7" i="2"/>
  <c r="D7" i="2"/>
  <c r="O6" i="2"/>
  <c r="D6" i="2"/>
  <c r="O5" i="2"/>
  <c r="F67" i="1"/>
  <c r="F74" i="1"/>
  <c r="O8" i="1"/>
  <c r="O7" i="1"/>
  <c r="O6" i="1"/>
  <c r="O5" i="1"/>
  <c r="C11" i="2" l="1"/>
  <c r="E100" i="2" s="1"/>
  <c r="F32" i="2"/>
  <c r="G74" i="2"/>
  <c r="F78" i="2"/>
  <c r="G26" i="2"/>
  <c r="F72" i="2"/>
  <c r="F31" i="2"/>
  <c r="F48" i="2" s="1"/>
  <c r="F54" i="2" s="1"/>
  <c r="O9" i="2"/>
  <c r="D8" i="2"/>
  <c r="D11" i="2" l="1"/>
  <c r="C13" i="2"/>
  <c r="F41" i="2"/>
  <c r="F53" i="2" s="1"/>
  <c r="F57" i="2" s="1"/>
  <c r="F30" i="2"/>
  <c r="G76" i="2"/>
  <c r="G78" i="2"/>
  <c r="H74" i="2"/>
  <c r="F80" i="2"/>
  <c r="F81" i="2" s="1"/>
  <c r="G49" i="2"/>
  <c r="G55" i="2" s="1"/>
  <c r="G31" i="2"/>
  <c r="G48" i="2" s="1"/>
  <c r="G54" i="2" s="1"/>
  <c r="H26" i="2"/>
  <c r="G32" i="2"/>
  <c r="E6" i="2"/>
  <c r="E13" i="2"/>
  <c r="E8" i="2" l="1"/>
  <c r="E11" i="2"/>
  <c r="E10" i="2"/>
  <c r="D13" i="2"/>
  <c r="E7" i="2"/>
  <c r="G41" i="2"/>
  <c r="G53" i="2" s="1"/>
  <c r="G57" i="2" s="1"/>
  <c r="G30" i="2"/>
  <c r="H78" i="2"/>
  <c r="H76" i="2"/>
  <c r="I74" i="2"/>
  <c r="F88" i="2"/>
  <c r="F87" i="2"/>
  <c r="F82" i="2"/>
  <c r="F33" i="2" s="1"/>
  <c r="H31" i="2"/>
  <c r="H48" i="2" s="1"/>
  <c r="H54" i="2" s="1"/>
  <c r="I26" i="2"/>
  <c r="H49" i="2"/>
  <c r="H55" i="2" s="1"/>
  <c r="H32" i="2"/>
  <c r="F42" i="2" l="1"/>
  <c r="F58" i="2" s="1"/>
  <c r="F59" i="2" s="1"/>
  <c r="F34" i="2"/>
  <c r="H41" i="2"/>
  <c r="H53" i="2" s="1"/>
  <c r="H57" i="2" s="1"/>
  <c r="H30" i="2"/>
  <c r="J26" i="2"/>
  <c r="I32" i="2"/>
  <c r="I31" i="2"/>
  <c r="I48" i="2" s="1"/>
  <c r="I54" i="2" s="1"/>
  <c r="I49" i="2"/>
  <c r="I55" i="2" s="1"/>
  <c r="G82" i="2"/>
  <c r="I78" i="2"/>
  <c r="J74" i="2"/>
  <c r="I76" i="2"/>
  <c r="J31" i="2" l="1"/>
  <c r="J48" i="2" s="1"/>
  <c r="J54" i="2" s="1"/>
  <c r="J32" i="2"/>
  <c r="J49" i="2"/>
  <c r="J55" i="2" s="1"/>
  <c r="I41" i="2"/>
  <c r="I53" i="2" s="1"/>
  <c r="I57" i="2" s="1"/>
  <c r="I30" i="2"/>
  <c r="H82" i="2"/>
  <c r="F43" i="2"/>
  <c r="F35" i="2"/>
  <c r="F44" i="2" s="1"/>
  <c r="J78" i="2"/>
  <c r="J76" i="2"/>
  <c r="I82" i="2" l="1"/>
  <c r="F36" i="2"/>
  <c r="F45" i="2" s="1"/>
  <c r="F47" i="2" s="1"/>
  <c r="F51" i="2" s="1"/>
  <c r="J41" i="2"/>
  <c r="J53" i="2" s="1"/>
  <c r="J57" i="2" s="1"/>
  <c r="J30" i="2"/>
  <c r="J82" i="2" l="1"/>
  <c r="J95" i="2"/>
  <c r="F68" i="2"/>
  <c r="F69" i="2" s="1"/>
  <c r="F70" i="2" l="1"/>
  <c r="Q9" i="1"/>
  <c r="N9" i="1"/>
  <c r="O9" i="1" s="1"/>
  <c r="G67" i="2" l="1"/>
  <c r="F85" i="2"/>
  <c r="F86" i="2" s="1"/>
  <c r="N11" i="1"/>
  <c r="O11" i="1" s="1"/>
  <c r="C10" i="1"/>
  <c r="E99" i="1" s="1"/>
  <c r="G72" i="2" l="1"/>
  <c r="G80" i="2" s="1"/>
  <c r="G81" i="2" s="1"/>
  <c r="J95" i="1"/>
  <c r="F76" i="1"/>
  <c r="F72" i="1"/>
  <c r="J50" i="1"/>
  <c r="J56" i="1" s="1"/>
  <c r="I50" i="1"/>
  <c r="I56" i="1" s="1"/>
  <c r="H50" i="1"/>
  <c r="H56" i="1" s="1"/>
  <c r="G50" i="1"/>
  <c r="G56" i="1" s="1"/>
  <c r="F50" i="1"/>
  <c r="F56" i="1" s="1"/>
  <c r="D10" i="1"/>
  <c r="D7" i="1"/>
  <c r="D6" i="1"/>
  <c r="G33" i="2" l="1"/>
  <c r="G88" i="2"/>
  <c r="G87" i="2"/>
  <c r="F78" i="1"/>
  <c r="F80" i="1" s="1"/>
  <c r="F81" i="1" s="1"/>
  <c r="G74" i="1"/>
  <c r="E84" i="1"/>
  <c r="F26" i="1"/>
  <c r="F49" i="1" s="1"/>
  <c r="F55" i="1" s="1"/>
  <c r="C8" i="1"/>
  <c r="G42" i="2" l="1"/>
  <c r="G58" i="2" s="1"/>
  <c r="G59" i="2" s="1"/>
  <c r="G34" i="2"/>
  <c r="G76" i="1"/>
  <c r="H74" i="1"/>
  <c r="G78" i="1"/>
  <c r="D8" i="1"/>
  <c r="C11" i="1"/>
  <c r="G26" i="1"/>
  <c r="G49" i="1" s="1"/>
  <c r="G55" i="1" s="1"/>
  <c r="F31" i="1"/>
  <c r="F48" i="1" s="1"/>
  <c r="F54" i="1" s="1"/>
  <c r="F32" i="1"/>
  <c r="F41" i="1" s="1"/>
  <c r="F53" i="1" s="1"/>
  <c r="G43" i="2" l="1"/>
  <c r="G35" i="2"/>
  <c r="G44" i="2" s="1"/>
  <c r="I74" i="1"/>
  <c r="H76" i="1"/>
  <c r="H78" i="1"/>
  <c r="F57" i="1"/>
  <c r="F30" i="1"/>
  <c r="H26" i="1"/>
  <c r="H49" i="1" s="1"/>
  <c r="H55" i="1" s="1"/>
  <c r="G32" i="1"/>
  <c r="G41" i="1" s="1"/>
  <c r="G53" i="1" s="1"/>
  <c r="G31" i="1"/>
  <c r="G48" i="1" s="1"/>
  <c r="G54" i="1" s="1"/>
  <c r="D11" i="1"/>
  <c r="C13" i="1"/>
  <c r="E11" i="1" s="1"/>
  <c r="G36" i="2" l="1"/>
  <c r="G45" i="2" s="1"/>
  <c r="G47" i="2" s="1"/>
  <c r="G51" i="2" s="1"/>
  <c r="G57" i="1"/>
  <c r="F33" i="1"/>
  <c r="F87" i="1"/>
  <c r="F86" i="1"/>
  <c r="J74" i="1"/>
  <c r="I78" i="1"/>
  <c r="I76" i="1"/>
  <c r="I26" i="1"/>
  <c r="I49" i="1" s="1"/>
  <c r="I55" i="1" s="1"/>
  <c r="H31" i="1"/>
  <c r="H48" i="1" s="1"/>
  <c r="H54" i="1" s="1"/>
  <c r="H32" i="1"/>
  <c r="H41" i="1" s="1"/>
  <c r="H53" i="1" s="1"/>
  <c r="E10" i="1"/>
  <c r="E13" i="1"/>
  <c r="E7" i="1"/>
  <c r="E6" i="1"/>
  <c r="D13" i="1"/>
  <c r="E8" i="1"/>
  <c r="G30" i="1"/>
  <c r="H57" i="1" l="1"/>
  <c r="G68" i="2"/>
  <c r="G69" i="2" s="1"/>
  <c r="J78" i="1"/>
  <c r="J76" i="1"/>
  <c r="F42" i="1"/>
  <c r="F58" i="1" s="1"/>
  <c r="F59" i="1" s="1"/>
  <c r="F34" i="1"/>
  <c r="H30" i="1"/>
  <c r="J26" i="1"/>
  <c r="J49" i="1" s="1"/>
  <c r="J55" i="1" s="1"/>
  <c r="I31" i="1"/>
  <c r="I48" i="1" s="1"/>
  <c r="I54" i="1" s="1"/>
  <c r="I32" i="1"/>
  <c r="I41" i="1" s="1"/>
  <c r="I53" i="1" s="1"/>
  <c r="I57" i="1" l="1"/>
  <c r="G70" i="2"/>
  <c r="F35" i="1"/>
  <c r="F43" i="1"/>
  <c r="I30" i="1"/>
  <c r="J31" i="1"/>
  <c r="J48" i="1" s="1"/>
  <c r="J54" i="1" s="1"/>
  <c r="J32" i="1"/>
  <c r="J41" i="1" s="1"/>
  <c r="J53" i="1" s="1"/>
  <c r="H67" i="2" l="1"/>
  <c r="G85" i="2"/>
  <c r="G86" i="2" s="1"/>
  <c r="J57" i="1"/>
  <c r="F44" i="1"/>
  <c r="F36" i="1"/>
  <c r="F45" i="1" s="1"/>
  <c r="F47" i="1" s="1"/>
  <c r="F51" i="1" s="1"/>
  <c r="F68" i="1" s="1"/>
  <c r="F69" i="1" s="1"/>
  <c r="F70" i="1" s="1"/>
  <c r="F84" i="1" s="1"/>
  <c r="F85" i="1" s="1"/>
  <c r="J30" i="1"/>
  <c r="H72" i="2" l="1"/>
  <c r="H80" i="2" s="1"/>
  <c r="H81" i="2" s="1"/>
  <c r="G67" i="1"/>
  <c r="G72" i="1" s="1"/>
  <c r="G80" i="1" s="1"/>
  <c r="G81" i="1" s="1"/>
  <c r="G33" i="1" s="1"/>
  <c r="G86" i="1" l="1"/>
  <c r="G87" i="1"/>
  <c r="H33" i="2"/>
  <c r="H88" i="2"/>
  <c r="H87" i="2"/>
  <c r="G42" i="1"/>
  <c r="G58" i="1" s="1"/>
  <c r="G59" i="1" s="1"/>
  <c r="G34" i="1"/>
  <c r="G43" i="1" s="1"/>
  <c r="J94" i="1"/>
  <c r="G35" i="1" l="1"/>
  <c r="H42" i="2"/>
  <c r="H58" i="2" s="1"/>
  <c r="H59" i="2" s="1"/>
  <c r="H34" i="2"/>
  <c r="G36" i="1"/>
  <c r="G45" i="1" s="1"/>
  <c r="G47" i="1" s="1"/>
  <c r="G51" i="1" s="1"/>
  <c r="G44" i="1"/>
  <c r="H43" i="2" l="1"/>
  <c r="H35" i="2"/>
  <c r="H44" i="2" s="1"/>
  <c r="H36" i="2"/>
  <c r="H45" i="2" s="1"/>
  <c r="H47" i="2" s="1"/>
  <c r="H51" i="2" s="1"/>
  <c r="G68" i="1"/>
  <c r="G69" i="1" s="1"/>
  <c r="G70" i="1" s="1"/>
  <c r="H68" i="2" l="1"/>
  <c r="H69" i="2"/>
  <c r="H67" i="1"/>
  <c r="G84" i="1"/>
  <c r="G85" i="1" s="1"/>
  <c r="H72" i="1"/>
  <c r="H80" i="1" s="1"/>
  <c r="H70" i="2" l="1"/>
  <c r="H81" i="1"/>
  <c r="H33" i="1" s="1"/>
  <c r="H42" i="1" s="1"/>
  <c r="H58" i="1" s="1"/>
  <c r="H59" i="1" s="1"/>
  <c r="H87" i="1"/>
  <c r="H86" i="1"/>
  <c r="I67" i="2" l="1"/>
  <c r="H85" i="2"/>
  <c r="H86" i="2" s="1"/>
  <c r="H34" i="1"/>
  <c r="H43" i="1"/>
  <c r="H35" i="1"/>
  <c r="I72" i="2" l="1"/>
  <c r="I80" i="2" s="1"/>
  <c r="I81" i="2" s="1"/>
  <c r="H36" i="1"/>
  <c r="H45" i="1" s="1"/>
  <c r="H47" i="1" s="1"/>
  <c r="H51" i="1" s="1"/>
  <c r="H68" i="1" s="1"/>
  <c r="H44" i="1"/>
  <c r="I33" i="2" l="1"/>
  <c r="I87" i="2"/>
  <c r="I88" i="2"/>
  <c r="H69" i="1"/>
  <c r="I42" i="2" l="1"/>
  <c r="I58" i="2" s="1"/>
  <c r="I59" i="2" s="1"/>
  <c r="I34" i="2"/>
  <c r="H70" i="1"/>
  <c r="I35" i="2" l="1"/>
  <c r="I44" i="2" s="1"/>
  <c r="I43" i="2"/>
  <c r="I67" i="1"/>
  <c r="H84" i="1"/>
  <c r="H85" i="1" s="1"/>
  <c r="I72" i="1"/>
  <c r="I80" i="1" s="1"/>
  <c r="I36" i="2" l="1"/>
  <c r="I45" i="2" s="1"/>
  <c r="I47" i="2" s="1"/>
  <c r="I51" i="2" s="1"/>
  <c r="I68" i="2"/>
  <c r="I81" i="1"/>
  <c r="I33" i="1" s="1"/>
  <c r="I42" i="1" s="1"/>
  <c r="I58" i="1" s="1"/>
  <c r="I59" i="1" s="1"/>
  <c r="I87" i="1"/>
  <c r="I86" i="1"/>
  <c r="I69" i="2" l="1"/>
  <c r="I70" i="2" s="1"/>
  <c r="I34" i="1"/>
  <c r="I43" i="1" s="1"/>
  <c r="I35" i="1"/>
  <c r="I44" i="1" s="1"/>
  <c r="J67" i="2" l="1"/>
  <c r="I85" i="2"/>
  <c r="I86" i="2" s="1"/>
  <c r="I36" i="1"/>
  <c r="I45" i="1" s="1"/>
  <c r="I47" i="1" s="1"/>
  <c r="I51" i="1" s="1"/>
  <c r="I68" i="1" s="1"/>
  <c r="J72" i="2" l="1"/>
  <c r="J80" i="2" s="1"/>
  <c r="J81" i="2" s="1"/>
  <c r="I69" i="1"/>
  <c r="I70" i="1" s="1"/>
  <c r="J33" i="2" l="1"/>
  <c r="J87" i="2"/>
  <c r="J88" i="2"/>
  <c r="J67" i="1"/>
  <c r="I84" i="1"/>
  <c r="I85" i="1" s="1"/>
  <c r="J72" i="1"/>
  <c r="J80" i="1" s="1"/>
  <c r="J42" i="2" l="1"/>
  <c r="J58" i="2" s="1"/>
  <c r="J59" i="2" s="1"/>
  <c r="J34" i="2"/>
  <c r="J81" i="1"/>
  <c r="J33" i="1" s="1"/>
  <c r="J42" i="1" s="1"/>
  <c r="J58" i="1" s="1"/>
  <c r="J59" i="1" s="1"/>
  <c r="J86" i="1"/>
  <c r="J87" i="1"/>
  <c r="J35" i="2" l="1"/>
  <c r="J44" i="2" s="1"/>
  <c r="J36" i="2"/>
  <c r="J45" i="2" s="1"/>
  <c r="J47" i="2" s="1"/>
  <c r="J51" i="2" s="1"/>
  <c r="J43" i="2"/>
  <c r="J34" i="1"/>
  <c r="J43" i="1" s="1"/>
  <c r="J35" i="1"/>
  <c r="J44" i="1" s="1"/>
  <c r="J68" i="2" l="1"/>
  <c r="J36" i="1"/>
  <c r="J45" i="1" s="1"/>
  <c r="J47" i="1" s="1"/>
  <c r="J51" i="1" s="1"/>
  <c r="J68" i="1" s="1"/>
  <c r="J69" i="2" l="1"/>
  <c r="J70" i="2" s="1"/>
  <c r="J85" i="2" s="1"/>
  <c r="J69" i="1"/>
  <c r="J70" i="1" s="1"/>
  <c r="J84" i="1" s="1"/>
  <c r="J97" i="2" l="1"/>
  <c r="J98" i="2" s="1"/>
  <c r="J100" i="2" s="1"/>
  <c r="J86" i="2"/>
  <c r="J96" i="1"/>
  <c r="J97" i="1" s="1"/>
  <c r="J99" i="1" s="1"/>
  <c r="J85" i="1"/>
  <c r="C103" i="2" l="1"/>
  <c r="E114" i="2" s="1"/>
  <c r="C102" i="2"/>
  <c r="E106" i="2" s="1"/>
  <c r="C101" i="1"/>
  <c r="E105" i="1" s="1"/>
  <c r="C102" i="1"/>
  <c r="E113" i="1" s="1"/>
</calcChain>
</file>

<file path=xl/sharedStrings.xml><?xml version="1.0" encoding="utf-8"?>
<sst xmlns="http://schemas.openxmlformats.org/spreadsheetml/2006/main" count="211" uniqueCount="83">
  <si>
    <t>E4</t>
  </si>
  <si>
    <t>Pro Forma Capitalization and Income Statement</t>
  </si>
  <si>
    <t>Sources and Uses for NewCo LBO</t>
  </si>
  <si>
    <t>(in millions of dollars)</t>
  </si>
  <si>
    <t>Sources</t>
  </si>
  <si>
    <t>Uses</t>
  </si>
  <si>
    <t>Pro Forma Capitalization</t>
  </si>
  <si>
    <t>Amount</t>
  </si>
  <si>
    <t>Multiple</t>
  </si>
  <si>
    <t>Percent</t>
  </si>
  <si>
    <t>Cash on hand</t>
  </si>
  <si>
    <t>Repay existing term loan</t>
  </si>
  <si>
    <t>Senior bank debt</t>
  </si>
  <si>
    <t>Repurchase equity</t>
  </si>
  <si>
    <t>Subordinated notes</t>
  </si>
  <si>
    <t>Fees and expenses</t>
  </si>
  <si>
    <t>Total debt</t>
  </si>
  <si>
    <t>Sponsors’ equity</t>
  </si>
  <si>
    <t>–</t>
  </si>
  <si>
    <t>Total</t>
  </si>
  <si>
    <t>Sponsor equity</t>
  </si>
  <si>
    <t>Purchase price</t>
  </si>
  <si>
    <t>EV</t>
  </si>
  <si>
    <t>Entry Enterprise value</t>
  </si>
  <si>
    <t>Income Statement</t>
  </si>
  <si>
    <t>Assumptions/Drivers</t>
  </si>
  <si>
    <t>Revenue growth</t>
  </si>
  <si>
    <t>EBIT margin</t>
  </si>
  <si>
    <t>D&amp;A</t>
  </si>
  <si>
    <t>Capex</t>
  </si>
  <si>
    <t>COGS</t>
  </si>
  <si>
    <t>SG&amp;A</t>
  </si>
  <si>
    <t>Change in NWC</t>
  </si>
  <si>
    <t>Revenue</t>
  </si>
  <si>
    <t>Gross profit</t>
  </si>
  <si>
    <t>EBITDA</t>
  </si>
  <si>
    <t>EBIT</t>
  </si>
  <si>
    <t>Net interest expense</t>
  </si>
  <si>
    <t>EBT</t>
  </si>
  <si>
    <t>Taxes</t>
  </si>
  <si>
    <t>Net income</t>
  </si>
  <si>
    <t>E5</t>
  </si>
  <si>
    <t>Cash Flow to Equity</t>
  </si>
  <si>
    <t>+D&amp;A</t>
  </si>
  <si>
    <t>-Capex</t>
  </si>
  <si>
    <t>-increase/+decrease in WC</t>
  </si>
  <si>
    <t>Cash available for debt payment</t>
  </si>
  <si>
    <t>EBIT*(1-t)</t>
  </si>
  <si>
    <t xml:space="preserve">FCF </t>
  </si>
  <si>
    <t>-Net interest expense*(1-t)</t>
  </si>
  <si>
    <t>E6</t>
  </si>
  <si>
    <t>Debt Schedule and Credit Metrics</t>
  </si>
  <si>
    <t>Operating cash (balance)</t>
  </si>
  <si>
    <t>LIBOR assumption</t>
  </si>
  <si>
    <t>Senior bank debt (beginning balance)</t>
  </si>
  <si>
    <t>Mandatory amortization</t>
  </si>
  <si>
    <t>Optional amortization</t>
  </si>
  <si>
    <t>Ending balance</t>
  </si>
  <si>
    <t>Bank debt interest expense</t>
  </si>
  <si>
    <t>LIBOR+</t>
  </si>
  <si>
    <t>HY Bonds beginning balance</t>
  </si>
  <si>
    <t>Bullet paydown</t>
  </si>
  <si>
    <t>HY Bonds interest expense</t>
  </si>
  <si>
    <t>Total interest expense</t>
  </si>
  <si>
    <t>Capped net interest expense</t>
  </si>
  <si>
    <t>Credit Metrics</t>
  </si>
  <si>
    <t>Total debt/EBITDA</t>
  </si>
  <si>
    <t>EBITDA/Intrest expense</t>
  </si>
  <si>
    <t>(EBITDA-Capex)/Interest expense</t>
  </si>
  <si>
    <t>E7</t>
  </si>
  <si>
    <t>Return Analysis</t>
  </si>
  <si>
    <t>Exit multiple</t>
  </si>
  <si>
    <t>Enterprise value</t>
  </si>
  <si>
    <t>+Cash</t>
  </si>
  <si>
    <t>-Debt</t>
  </si>
  <si>
    <t>Equity Value</t>
  </si>
  <si>
    <t>Cash flows</t>
  </si>
  <si>
    <t>Expected IRR</t>
  </si>
  <si>
    <t>MOIC</t>
  </si>
  <si>
    <t>Sensitivity Analysis</t>
  </si>
  <si>
    <t>IRR</t>
  </si>
  <si>
    <t>Exit Multiple</t>
  </si>
  <si>
    <t>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</si>
</sst>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₩&quot;#,##0.0"/>
    <numFmt numFmtId="165" formatCode="&quot;₩&quot;#,##0.00"/>
    <numFmt numFmtId="166" formatCode="0.0\x"/>
    <numFmt numFmtId="167" formatCode="0.0%"/>
    <numFmt numFmtId="168" formatCode="0.0000%"/>
    <numFmt numFmtId="169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1" fillId="0" borderId="9" xfId="0" applyFont="1" applyBorder="1"/>
    <xf numFmtId="0" fontId="0" fillId="0" borderId="7" xfId="0" quotePrefix="1" applyBorder="1" applyAlignment="1">
      <alignment horizontal="left" indent="2"/>
    </xf>
    <xf numFmtId="168" fontId="0" fillId="0" borderId="0" xfId="0" applyNumberFormat="1"/>
    <xf numFmtId="0" fontId="0" fillId="0" borderId="0" xfId="0" quotePrefix="1" applyBorder="1" applyAlignment="1">
      <alignment horizontal="left" indent="2"/>
    </xf>
    <xf numFmtId="0" fontId="0" fillId="0" borderId="2" xfId="0" quotePrefix="1" applyBorder="1" applyAlignment="1">
      <alignment horizontal="left" indent="2"/>
    </xf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167" fontId="5" fillId="0" borderId="0" xfId="0" applyNumberFormat="1" applyFont="1"/>
    <xf numFmtId="0" fontId="4" fillId="0" borderId="0" xfId="0" applyFont="1" applyBorder="1"/>
    <xf numFmtId="164" fontId="4" fillId="0" borderId="0" xfId="0" applyNumberFormat="1" applyFont="1" applyBorder="1"/>
    <xf numFmtId="10" fontId="4" fillId="0" borderId="3" xfId="0" applyNumberFormat="1" applyFont="1" applyBorder="1"/>
    <xf numFmtId="0" fontId="0" fillId="0" borderId="1" xfId="0" applyBorder="1"/>
    <xf numFmtId="167" fontId="0" fillId="0" borderId="6" xfId="0" applyNumberFormat="1" applyBorder="1"/>
    <xf numFmtId="0" fontId="0" fillId="0" borderId="9" xfId="0" applyBorder="1"/>
    <xf numFmtId="166" fontId="0" fillId="0" borderId="10" xfId="0" applyNumberFormat="1" applyBorder="1"/>
    <xf numFmtId="166" fontId="0" fillId="0" borderId="2" xfId="0" applyNumberFormat="1" applyBorder="1"/>
    <xf numFmtId="9" fontId="4" fillId="0" borderId="3" xfId="0" applyNumberFormat="1" applyFont="1" applyBorder="1"/>
    <xf numFmtId="0" fontId="6" fillId="0" borderId="0" xfId="0" applyFont="1"/>
    <xf numFmtId="9" fontId="7" fillId="0" borderId="3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/>
    </xf>
    <xf numFmtId="167" fontId="4" fillId="0" borderId="0" xfId="0" applyNumberFormat="1" applyFont="1" applyBorder="1"/>
    <xf numFmtId="166" fontId="4" fillId="0" borderId="0" xfId="0" applyNumberFormat="1" applyFont="1" applyAlignment="1">
      <alignment horizontal="center"/>
    </xf>
    <xf numFmtId="167" fontId="0" fillId="0" borderId="10" xfId="0" applyNumberFormat="1" applyBorder="1"/>
    <xf numFmtId="169" fontId="4" fillId="0" borderId="0" xfId="0" applyNumberFormat="1" applyFont="1" applyBorder="1"/>
    <xf numFmtId="169" fontId="0" fillId="0" borderId="0" xfId="0" applyNumberFormat="1"/>
    <xf numFmtId="169" fontId="0" fillId="0" borderId="2" xfId="0" applyNumberFormat="1" applyBorder="1"/>
    <xf numFmtId="169" fontId="0" fillId="0" borderId="0" xfId="0" applyNumberFormat="1" applyBorder="1"/>
    <xf numFmtId="169" fontId="0" fillId="2" borderId="2" xfId="0" applyNumberFormat="1" applyFill="1" applyBorder="1"/>
    <xf numFmtId="169" fontId="6" fillId="0" borderId="0" xfId="0" applyNumberFormat="1" applyFont="1"/>
    <xf numFmtId="169" fontId="6" fillId="0" borderId="2" xfId="0" applyNumberFormat="1" applyFont="1" applyBorder="1"/>
    <xf numFmtId="169" fontId="0" fillId="0" borderId="5" xfId="0" applyNumberFormat="1" applyBorder="1"/>
    <xf numFmtId="169" fontId="0" fillId="0" borderId="6" xfId="0" applyNumberFormat="1" applyBorder="1"/>
    <xf numFmtId="169" fontId="0" fillId="0" borderId="8" xfId="0" applyNumberFormat="1" applyBorder="1"/>
    <xf numFmtId="169" fontId="1" fillId="0" borderId="2" xfId="0" applyNumberFormat="1" applyFont="1" applyBorder="1"/>
    <xf numFmtId="169" fontId="1" fillId="0" borderId="10" xfId="0" applyNumberFormat="1" applyFont="1" applyBorder="1"/>
    <xf numFmtId="169" fontId="4" fillId="0" borderId="0" xfId="0" applyNumberFormat="1" applyFont="1"/>
    <xf numFmtId="169" fontId="1" fillId="0" borderId="0" xfId="0" applyNumberFormat="1" applyFont="1"/>
    <xf numFmtId="169" fontId="0" fillId="0" borderId="11" xfId="0" applyNumberFormat="1" applyBorder="1"/>
    <xf numFmtId="169" fontId="0" fillId="0" borderId="12" xfId="0" applyNumberFormat="1" applyBorder="1"/>
    <xf numFmtId="0" fontId="0" fillId="0" borderId="0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5" xfId="0" applyNumberFormat="1" applyBorder="1"/>
    <xf numFmtId="166" fontId="4" fillId="0" borderId="5" xfId="0" applyNumberFormat="1" applyFont="1" applyBorder="1" applyAlignment="1">
      <alignment horizontal="center"/>
    </xf>
    <xf numFmtId="0" fontId="0" fillId="0" borderId="0" xfId="0" applyAlignment="1">
      <alignment horizontal="left" inden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8"/>
  <sheetViews>
    <sheetView tabSelected="1" topLeftCell="A60" zoomScale="110" zoomScaleNormal="110" workbookViewId="0">
      <selection activeCell="J81" sqref="J81"/>
    </sheetView>
  </sheetViews>
  <sheetFormatPr defaultRowHeight="15" x14ac:dyDescent="0.25"/>
  <cols>
    <col min="1" max="1" width="9.140625" style="36"/>
    <col min="2" max="2" width="33.7109375" customWidth="1"/>
    <col min="5" max="5" width="9.5703125" bestFit="1" customWidth="1"/>
    <col min="13" max="13" width="18.7109375" bestFit="1" customWidth="1"/>
    <col min="14" max="14" width="7.5703125" customWidth="1"/>
    <col min="16" max="16" width="23.28515625" bestFit="1" customWidth="1"/>
    <col min="17" max="17" width="7" customWidth="1"/>
  </cols>
  <sheetData>
    <row r="2" spans="1:17" ht="19.5" x14ac:dyDescent="0.3">
      <c r="A2" s="39" t="s">
        <v>0</v>
      </c>
      <c r="B2" s="61" t="s">
        <v>1</v>
      </c>
      <c r="C2" s="61"/>
      <c r="D2" s="61"/>
      <c r="E2" s="61"/>
      <c r="F2" s="61"/>
      <c r="G2" s="61"/>
      <c r="H2" s="61"/>
      <c r="I2" s="61"/>
      <c r="J2" s="61"/>
      <c r="M2" s="60" t="s">
        <v>2</v>
      </c>
      <c r="N2" s="60"/>
      <c r="O2" s="60"/>
      <c r="P2" s="60"/>
      <c r="Q2" s="60"/>
    </row>
    <row r="3" spans="1:17" x14ac:dyDescent="0.25">
      <c r="A3" s="39"/>
      <c r="B3" t="s">
        <v>3</v>
      </c>
    </row>
    <row r="4" spans="1:17" x14ac:dyDescent="0.25">
      <c r="A4" s="39"/>
      <c r="M4" s="37" t="s">
        <v>4</v>
      </c>
      <c r="N4" s="37"/>
      <c r="O4" s="37"/>
      <c r="P4" s="37" t="s">
        <v>5</v>
      </c>
    </row>
    <row r="5" spans="1:17" x14ac:dyDescent="0.25">
      <c r="A5" s="39"/>
      <c r="B5" s="1" t="s">
        <v>6</v>
      </c>
      <c r="C5" s="9" t="s">
        <v>7</v>
      </c>
      <c r="D5" s="9" t="s">
        <v>8</v>
      </c>
      <c r="E5" s="9" t="s">
        <v>9</v>
      </c>
      <c r="M5" t="s">
        <v>10</v>
      </c>
      <c r="N5">
        <v>75</v>
      </c>
      <c r="O5" s="41">
        <f>N5/$E$30</f>
        <v>0.57427258805513015</v>
      </c>
      <c r="P5" t="s">
        <v>11</v>
      </c>
      <c r="Q5">
        <v>300</v>
      </c>
    </row>
    <row r="6" spans="1:17" x14ac:dyDescent="0.25">
      <c r="A6" s="39"/>
      <c r="B6" t="s">
        <v>12</v>
      </c>
      <c r="C6" s="19">
        <v>500</v>
      </c>
      <c r="D6" s="20">
        <f>C6/$E$30</f>
        <v>3.8284839203675345</v>
      </c>
      <c r="E6" s="21">
        <f>C6/$C$13</f>
        <v>0.45045045045045046</v>
      </c>
      <c r="M6" t="s">
        <v>12</v>
      </c>
      <c r="N6">
        <v>500</v>
      </c>
      <c r="O6" s="41">
        <f>N6/$E$30</f>
        <v>3.8284839203675345</v>
      </c>
      <c r="P6" t="s">
        <v>13</v>
      </c>
      <c r="Q6">
        <v>885</v>
      </c>
    </row>
    <row r="7" spans="1:17" x14ac:dyDescent="0.25">
      <c r="A7" s="39"/>
      <c r="B7" t="s">
        <v>14</v>
      </c>
      <c r="C7" s="22">
        <v>250</v>
      </c>
      <c r="D7" s="23">
        <f>C7/$E$30</f>
        <v>1.9142419601837672</v>
      </c>
      <c r="E7" s="24">
        <f>C7/$C$13</f>
        <v>0.22522522522522523</v>
      </c>
      <c r="M7" t="s">
        <v>14</v>
      </c>
      <c r="N7">
        <v>250</v>
      </c>
      <c r="O7" s="41">
        <f>N7/$E$30</f>
        <v>1.9142419601837672</v>
      </c>
      <c r="P7" t="s">
        <v>15</v>
      </c>
      <c r="Q7">
        <v>40</v>
      </c>
    </row>
    <row r="8" spans="1:17" x14ac:dyDescent="0.25">
      <c r="A8" s="39"/>
      <c r="B8" s="2" t="s">
        <v>16</v>
      </c>
      <c r="C8" s="19">
        <f>SUM(C6:C7)</f>
        <v>750</v>
      </c>
      <c r="D8" s="20">
        <f>C8/$E$30</f>
        <v>5.7427258805513022</v>
      </c>
      <c r="E8" s="21">
        <f>C8/$C$13</f>
        <v>0.67567567567567566</v>
      </c>
      <c r="M8" t="s">
        <v>17</v>
      </c>
      <c r="N8">
        <v>400</v>
      </c>
      <c r="O8" s="41">
        <f>N8/$E$30</f>
        <v>3.0627871362940278</v>
      </c>
      <c r="P8" t="s">
        <v>18</v>
      </c>
    </row>
    <row r="9" spans="1:17" x14ac:dyDescent="0.25">
      <c r="A9" s="39"/>
      <c r="C9" s="19"/>
      <c r="D9" s="20"/>
      <c r="E9" s="21"/>
      <c r="M9" s="13" t="s">
        <v>19</v>
      </c>
      <c r="N9" s="63">
        <f>SUM(N5:N8)</f>
        <v>1225</v>
      </c>
      <c r="O9" s="64">
        <f>N9/$E$30</f>
        <v>9.3797856049004604</v>
      </c>
      <c r="P9" s="13" t="s">
        <v>19</v>
      </c>
      <c r="Q9" s="63">
        <f>SUM(Q5:Q8)</f>
        <v>1225</v>
      </c>
    </row>
    <row r="10" spans="1:17" x14ac:dyDescent="0.25">
      <c r="A10" s="39"/>
      <c r="B10" t="s">
        <v>20</v>
      </c>
      <c r="C10" s="22">
        <f>1150-C6-C7</f>
        <v>400</v>
      </c>
      <c r="D10" s="23">
        <f>C10/$E$30</f>
        <v>3.0627871362940278</v>
      </c>
      <c r="E10" s="24">
        <f>C10/$C$13</f>
        <v>0.36036036036036034</v>
      </c>
    </row>
    <row r="11" spans="1:17" x14ac:dyDescent="0.25">
      <c r="A11" s="39"/>
      <c r="B11" t="s">
        <v>21</v>
      </c>
      <c r="C11" s="19">
        <f>C8+C10</f>
        <v>1150</v>
      </c>
      <c r="D11" s="20">
        <f>C11/$E$30</f>
        <v>8.8055130168453299</v>
      </c>
      <c r="E11" s="21">
        <f>C11/$C$13</f>
        <v>1.0360360360360361</v>
      </c>
      <c r="M11" t="s">
        <v>22</v>
      </c>
      <c r="N11" s="38">
        <f>N9-N5-Q7</f>
        <v>1110</v>
      </c>
      <c r="O11" s="41">
        <f>N11/$E$30</f>
        <v>8.4992343032159265</v>
      </c>
    </row>
    <row r="12" spans="1:17" x14ac:dyDescent="0.25">
      <c r="A12" s="39"/>
      <c r="C12" s="19"/>
      <c r="D12" s="20"/>
      <c r="E12" s="21"/>
    </row>
    <row r="13" spans="1:17" x14ac:dyDescent="0.25">
      <c r="A13" s="39"/>
      <c r="B13" t="s">
        <v>23</v>
      </c>
      <c r="C13" s="19">
        <f>C11-40</f>
        <v>1110</v>
      </c>
      <c r="D13" s="20">
        <f>C13/$E$30</f>
        <v>8.4992343032159265</v>
      </c>
      <c r="E13" s="21">
        <f>C13/$C$13</f>
        <v>1</v>
      </c>
    </row>
    <row r="16" spans="1:17" x14ac:dyDescent="0.25">
      <c r="A16" s="39"/>
      <c r="B16" s="1" t="s">
        <v>24</v>
      </c>
    </row>
    <row r="17" spans="2:15" x14ac:dyDescent="0.25">
      <c r="B17" s="4" t="s">
        <v>25</v>
      </c>
      <c r="E17" s="5">
        <v>0</v>
      </c>
      <c r="F17" s="5">
        <v>1</v>
      </c>
      <c r="G17" s="5">
        <v>2</v>
      </c>
      <c r="H17" s="5">
        <v>3</v>
      </c>
      <c r="I17" s="5">
        <v>4</v>
      </c>
      <c r="J17" s="5">
        <v>5</v>
      </c>
    </row>
    <row r="18" spans="2:15" x14ac:dyDescent="0.25">
      <c r="B18" t="s">
        <v>26</v>
      </c>
      <c r="E18" s="21">
        <v>0.02</v>
      </c>
      <c r="F18" s="21">
        <v>0.03</v>
      </c>
      <c r="G18" s="21">
        <v>0.04</v>
      </c>
      <c r="H18" s="21">
        <v>0.04</v>
      </c>
      <c r="I18" s="21">
        <v>0.04</v>
      </c>
      <c r="J18" s="21">
        <v>0.04</v>
      </c>
    </row>
    <row r="19" spans="2:15" x14ac:dyDescent="0.25">
      <c r="B19" t="s">
        <v>27</v>
      </c>
      <c r="E19" s="21">
        <v>0.15</v>
      </c>
      <c r="F19" s="21">
        <v>0.18</v>
      </c>
      <c r="G19" s="21">
        <v>0.2</v>
      </c>
      <c r="H19" s="21">
        <v>0.2</v>
      </c>
      <c r="I19" s="21">
        <v>0.2</v>
      </c>
      <c r="J19" s="21">
        <v>0.2</v>
      </c>
    </row>
    <row r="20" spans="2:15" x14ac:dyDescent="0.25">
      <c r="B20" t="s">
        <v>28</v>
      </c>
      <c r="E20" s="40">
        <v>0.09</v>
      </c>
      <c r="F20" s="21">
        <v>0.09</v>
      </c>
      <c r="G20" s="21">
        <v>0.09</v>
      </c>
      <c r="H20" s="21">
        <v>0.09</v>
      </c>
      <c r="I20" s="21">
        <v>0.09</v>
      </c>
      <c r="J20" s="21">
        <v>0.09</v>
      </c>
    </row>
    <row r="21" spans="2:15" x14ac:dyDescent="0.25">
      <c r="B21" t="s">
        <v>29</v>
      </c>
      <c r="E21" s="40">
        <v>2.5000000000000001E-2</v>
      </c>
      <c r="F21" s="21">
        <v>2.5000000000000001E-2</v>
      </c>
      <c r="G21" s="21">
        <v>2.5000000000000001E-2</v>
      </c>
      <c r="H21" s="21">
        <v>2.5000000000000001E-2</v>
      </c>
      <c r="I21" s="21">
        <v>2.5000000000000001E-2</v>
      </c>
      <c r="J21" s="21">
        <v>2.5000000000000001E-2</v>
      </c>
    </row>
    <row r="22" spans="2:15" x14ac:dyDescent="0.25">
      <c r="B22" t="s">
        <v>30</v>
      </c>
      <c r="E22" s="40"/>
      <c r="F22" s="21">
        <v>0.59</v>
      </c>
      <c r="G22" s="21">
        <v>0.57999999999999996</v>
      </c>
      <c r="H22" s="21">
        <v>0.57999999999999996</v>
      </c>
      <c r="I22" s="21">
        <v>0.57999999999999996</v>
      </c>
      <c r="J22" s="21">
        <v>0.57999999999999996</v>
      </c>
    </row>
    <row r="23" spans="2:15" x14ac:dyDescent="0.25">
      <c r="B23" t="s">
        <v>31</v>
      </c>
      <c r="E23" s="40"/>
      <c r="F23" s="21">
        <v>0.14000000000000001</v>
      </c>
      <c r="G23" s="21">
        <v>0.13</v>
      </c>
      <c r="H23" s="21">
        <v>0.13</v>
      </c>
      <c r="I23" s="21">
        <v>0.13</v>
      </c>
      <c r="J23" s="21">
        <v>0.13</v>
      </c>
    </row>
    <row r="24" spans="2:15" x14ac:dyDescent="0.25">
      <c r="B24" t="s">
        <v>32</v>
      </c>
      <c r="E24" s="25"/>
      <c r="F24" s="26">
        <v>1.1000000000000001</v>
      </c>
      <c r="G24" s="26">
        <v>1.5</v>
      </c>
      <c r="H24" s="26">
        <v>1.6</v>
      </c>
      <c r="I24" s="26">
        <v>1.6</v>
      </c>
      <c r="J24" s="26">
        <v>1.7</v>
      </c>
    </row>
    <row r="25" spans="2:15" x14ac:dyDescent="0.25">
      <c r="E25" s="11"/>
      <c r="F25" s="16"/>
      <c r="G25" s="16"/>
      <c r="H25" s="16"/>
      <c r="I25" s="16"/>
      <c r="J25" s="16"/>
    </row>
    <row r="26" spans="2:15" x14ac:dyDescent="0.25">
      <c r="B26" t="s">
        <v>33</v>
      </c>
      <c r="E26" s="43">
        <v>525</v>
      </c>
      <c r="F26" s="44">
        <f>E26*(1+F18)</f>
        <v>540.75</v>
      </c>
      <c r="G26" s="44">
        <f>F26*(1+G18)</f>
        <v>562.38</v>
      </c>
      <c r="H26" s="44">
        <f>G26*(1+H18)</f>
        <v>584.87520000000006</v>
      </c>
      <c r="I26" s="44">
        <f>H26*(1+I18)</f>
        <v>608.27020800000014</v>
      </c>
      <c r="J26" s="44">
        <f>I26*(1+J18)</f>
        <v>632.60101632000021</v>
      </c>
    </row>
    <row r="27" spans="2:15" x14ac:dyDescent="0.25">
      <c r="B27" t="s">
        <v>30</v>
      </c>
      <c r="E27" s="43"/>
      <c r="F27" s="45"/>
      <c r="G27" s="45"/>
      <c r="H27" s="45"/>
      <c r="I27" s="45"/>
      <c r="J27" s="45"/>
    </row>
    <row r="28" spans="2:15" x14ac:dyDescent="0.25">
      <c r="B28" t="s">
        <v>34</v>
      </c>
      <c r="E28" s="43"/>
      <c r="F28" s="44"/>
      <c r="G28" s="44"/>
      <c r="H28" s="44"/>
      <c r="I28" s="44"/>
      <c r="J28" s="44"/>
    </row>
    <row r="29" spans="2:15" x14ac:dyDescent="0.25">
      <c r="B29" t="s">
        <v>31</v>
      </c>
      <c r="E29" s="43"/>
      <c r="F29" s="45"/>
      <c r="G29" s="45"/>
      <c r="H29" s="45"/>
      <c r="I29" s="45"/>
      <c r="J29" s="45"/>
    </row>
    <row r="30" spans="2:15" x14ac:dyDescent="0.25">
      <c r="B30" t="s">
        <v>35</v>
      </c>
      <c r="E30" s="43">
        <v>130.6</v>
      </c>
      <c r="F30" s="44">
        <f>F32-F31</f>
        <v>146.0025</v>
      </c>
      <c r="G30" s="44">
        <f t="shared" ref="G30:J30" si="0">G32-G31</f>
        <v>163.09019999999998</v>
      </c>
      <c r="H30" s="44">
        <f t="shared" si="0"/>
        <v>169.61380800000003</v>
      </c>
      <c r="I30" s="44">
        <f t="shared" si="0"/>
        <v>176.39836032000005</v>
      </c>
      <c r="J30" s="44">
        <f t="shared" si="0"/>
        <v>183.45429473280007</v>
      </c>
      <c r="K30" s="6"/>
      <c r="L30" s="6"/>
      <c r="M30" s="6"/>
      <c r="N30" s="6"/>
      <c r="O30" s="6"/>
    </row>
    <row r="31" spans="2:15" x14ac:dyDescent="0.25">
      <c r="B31" s="65" t="s">
        <v>28</v>
      </c>
      <c r="E31" s="43"/>
      <c r="F31" s="45">
        <f>-F26*F20</f>
        <v>-48.667499999999997</v>
      </c>
      <c r="G31" s="45">
        <f t="shared" ref="G31:J31" si="1">-G26*G20</f>
        <v>-50.614199999999997</v>
      </c>
      <c r="H31" s="45">
        <f t="shared" si="1"/>
        <v>-52.638768000000006</v>
      </c>
      <c r="I31" s="45">
        <f t="shared" si="1"/>
        <v>-54.74431872000001</v>
      </c>
      <c r="J31" s="45">
        <f t="shared" si="1"/>
        <v>-56.93409146880002</v>
      </c>
    </row>
    <row r="32" spans="2:15" x14ac:dyDescent="0.25">
      <c r="B32" s="65" t="s">
        <v>36</v>
      </c>
      <c r="E32" s="43"/>
      <c r="F32" s="44">
        <f t="shared" ref="F32:J32" si="2">F26*F19</f>
        <v>97.334999999999994</v>
      </c>
      <c r="G32" s="44">
        <f t="shared" si="2"/>
        <v>112.476</v>
      </c>
      <c r="H32" s="44">
        <f t="shared" si="2"/>
        <v>116.97504000000002</v>
      </c>
      <c r="I32" s="44">
        <f t="shared" si="2"/>
        <v>121.65404160000003</v>
      </c>
      <c r="J32" s="44">
        <f t="shared" si="2"/>
        <v>126.52020326400005</v>
      </c>
    </row>
    <row r="33" spans="1:10" x14ac:dyDescent="0.25">
      <c r="A33" s="39"/>
      <c r="B33" t="s">
        <v>37</v>
      </c>
      <c r="E33" s="46"/>
      <c r="F33" s="47">
        <f>-MIN(F81,F82)</f>
        <v>-52.5</v>
      </c>
      <c r="G33" s="47">
        <f t="shared" ref="G33:J33" si="3">-MIN(G81,G82)</f>
        <v>-48.731895999999999</v>
      </c>
      <c r="H33" s="47">
        <f t="shared" si="3"/>
        <v>-43.607143470399997</v>
      </c>
      <c r="I33" s="47">
        <f t="shared" si="3"/>
        <v>-37.944491894896956</v>
      </c>
      <c r="J33" s="47">
        <f t="shared" si="3"/>
        <v>-31.700405427675076</v>
      </c>
    </row>
    <row r="34" spans="1:10" x14ac:dyDescent="0.25">
      <c r="A34" s="39"/>
      <c r="B34" t="s">
        <v>38</v>
      </c>
      <c r="E34" s="46"/>
      <c r="F34" s="44">
        <f>F32+F33</f>
        <v>44.834999999999994</v>
      </c>
      <c r="G34" s="44">
        <f t="shared" ref="G34:J34" si="4">G32+G33</f>
        <v>63.744104</v>
      </c>
      <c r="H34" s="44">
        <f t="shared" si="4"/>
        <v>73.367896529600017</v>
      </c>
      <c r="I34" s="44">
        <f t="shared" si="4"/>
        <v>83.709549705103072</v>
      </c>
      <c r="J34" s="44">
        <f t="shared" si="4"/>
        <v>94.819797836324966</v>
      </c>
    </row>
    <row r="35" spans="1:10" x14ac:dyDescent="0.25">
      <c r="A35" s="39"/>
      <c r="B35" t="s">
        <v>39</v>
      </c>
      <c r="C35" s="33">
        <v>0.21</v>
      </c>
      <c r="E35" s="46"/>
      <c r="F35" s="45">
        <f>-F34*$C$35</f>
        <v>-9.4153499999999983</v>
      </c>
      <c r="G35" s="45">
        <f>-G34*$C$35</f>
        <v>-13.38626184</v>
      </c>
      <c r="H35" s="45">
        <f>-H34*$C$35</f>
        <v>-15.407258271216003</v>
      </c>
      <c r="I35" s="45">
        <f>-I34*$C$35</f>
        <v>-17.579005438071643</v>
      </c>
      <c r="J35" s="45">
        <f>-J34*$C$35</f>
        <v>-19.912157545628244</v>
      </c>
    </row>
    <row r="36" spans="1:10" x14ac:dyDescent="0.25">
      <c r="A36" s="39"/>
      <c r="B36" t="s">
        <v>40</v>
      </c>
      <c r="E36" s="46"/>
      <c r="F36" s="44">
        <f>F34+F35</f>
        <v>35.419649999999997</v>
      </c>
      <c r="G36" s="44">
        <f>G34+G35</f>
        <v>50.357842160000004</v>
      </c>
      <c r="H36" s="44">
        <f>H34+H35</f>
        <v>57.960638258384016</v>
      </c>
      <c r="I36" s="44">
        <f>I34+I35</f>
        <v>66.130544267031425</v>
      </c>
      <c r="J36" s="44">
        <f>J34+J35</f>
        <v>74.907640290696719</v>
      </c>
    </row>
    <row r="37" spans="1:10" x14ac:dyDescent="0.25">
      <c r="A37" s="39"/>
      <c r="E37" s="11"/>
    </row>
    <row r="39" spans="1:10" ht="19.5" x14ac:dyDescent="0.3">
      <c r="A39" s="39" t="s">
        <v>41</v>
      </c>
      <c r="B39" s="61" t="s">
        <v>42</v>
      </c>
      <c r="C39" s="61"/>
      <c r="D39" s="61"/>
      <c r="E39" s="61"/>
      <c r="F39" s="61"/>
      <c r="G39" s="61"/>
      <c r="H39" s="61"/>
      <c r="I39" s="61"/>
      <c r="J39" s="61"/>
    </row>
    <row r="40" spans="1:10" x14ac:dyDescent="0.25">
      <c r="A40" s="39"/>
      <c r="E40" s="5">
        <v>0</v>
      </c>
      <c r="F40" s="5">
        <v>1</v>
      </c>
      <c r="G40" s="5">
        <v>2</v>
      </c>
      <c r="H40" s="5">
        <v>3</v>
      </c>
      <c r="I40" s="5">
        <v>4</v>
      </c>
      <c r="J40" s="5">
        <v>5</v>
      </c>
    </row>
    <row r="41" spans="1:10" x14ac:dyDescent="0.25">
      <c r="A41" s="39"/>
      <c r="B41" s="34" t="s">
        <v>36</v>
      </c>
      <c r="C41" s="34"/>
      <c r="D41" s="34"/>
      <c r="E41" s="48"/>
      <c r="F41" s="48">
        <f>F32</f>
        <v>97.334999999999994</v>
      </c>
      <c r="G41" s="48">
        <f t="shared" ref="G41:J41" si="5">G32</f>
        <v>112.476</v>
      </c>
      <c r="H41" s="48">
        <f t="shared" si="5"/>
        <v>116.97504000000002</v>
      </c>
      <c r="I41" s="48">
        <f t="shared" si="5"/>
        <v>121.65404160000003</v>
      </c>
      <c r="J41" s="48">
        <f t="shared" si="5"/>
        <v>126.52020326400005</v>
      </c>
    </row>
    <row r="42" spans="1:10" x14ac:dyDescent="0.25">
      <c r="A42" s="39"/>
      <c r="B42" s="34" t="s">
        <v>37</v>
      </c>
      <c r="C42" s="34"/>
      <c r="D42" s="34"/>
      <c r="E42" s="48"/>
      <c r="F42" s="48">
        <f>F33</f>
        <v>-52.5</v>
      </c>
      <c r="G42" s="48">
        <f t="shared" ref="G42:J42" si="6">G33</f>
        <v>-48.731895999999999</v>
      </c>
      <c r="H42" s="48">
        <f t="shared" si="6"/>
        <v>-43.607143470399997</v>
      </c>
      <c r="I42" s="48">
        <f t="shared" si="6"/>
        <v>-37.944491894896956</v>
      </c>
      <c r="J42" s="48">
        <f t="shared" si="6"/>
        <v>-31.700405427675076</v>
      </c>
    </row>
    <row r="43" spans="1:10" x14ac:dyDescent="0.25">
      <c r="A43" s="39"/>
      <c r="B43" s="34" t="s">
        <v>38</v>
      </c>
      <c r="C43" s="34"/>
      <c r="D43" s="34"/>
      <c r="E43" s="48"/>
      <c r="F43" s="48">
        <f>F34</f>
        <v>44.834999999999994</v>
      </c>
      <c r="G43" s="48">
        <f t="shared" ref="G43:J43" si="7">G34</f>
        <v>63.744104</v>
      </c>
      <c r="H43" s="48">
        <f t="shared" si="7"/>
        <v>73.367896529600017</v>
      </c>
      <c r="I43" s="48">
        <f t="shared" si="7"/>
        <v>83.709549705103072</v>
      </c>
      <c r="J43" s="48">
        <f t="shared" si="7"/>
        <v>94.819797836324966</v>
      </c>
    </row>
    <row r="44" spans="1:10" x14ac:dyDescent="0.25">
      <c r="A44" s="39"/>
      <c r="B44" s="34" t="s">
        <v>39</v>
      </c>
      <c r="C44" s="35">
        <v>0.21</v>
      </c>
      <c r="D44" s="34"/>
      <c r="E44" s="48"/>
      <c r="F44" s="49">
        <f t="shared" ref="F44:J44" si="8">F35</f>
        <v>-9.4153499999999983</v>
      </c>
      <c r="G44" s="49">
        <f t="shared" si="8"/>
        <v>-13.38626184</v>
      </c>
      <c r="H44" s="49">
        <f t="shared" si="8"/>
        <v>-15.407258271216003</v>
      </c>
      <c r="I44" s="49">
        <f t="shared" si="8"/>
        <v>-17.579005438071643</v>
      </c>
      <c r="J44" s="49">
        <f t="shared" si="8"/>
        <v>-19.912157545628244</v>
      </c>
    </row>
    <row r="45" spans="1:10" x14ac:dyDescent="0.25">
      <c r="A45" s="39"/>
      <c r="B45" s="34" t="s">
        <v>40</v>
      </c>
      <c r="C45" s="34"/>
      <c r="D45" s="34"/>
      <c r="E45" s="48"/>
      <c r="F45" s="48">
        <f t="shared" ref="F45:J45" si="9">F36</f>
        <v>35.419649999999997</v>
      </c>
      <c r="G45" s="48">
        <f t="shared" si="9"/>
        <v>50.357842160000004</v>
      </c>
      <c r="H45" s="48">
        <f t="shared" si="9"/>
        <v>57.960638258384016</v>
      </c>
      <c r="I45" s="48">
        <f t="shared" si="9"/>
        <v>66.130544267031425</v>
      </c>
      <c r="J45" s="48">
        <f t="shared" si="9"/>
        <v>74.907640290696719</v>
      </c>
    </row>
    <row r="46" spans="1:10" x14ac:dyDescent="0.25">
      <c r="A46" s="39"/>
      <c r="E46" s="44"/>
      <c r="F46" s="44"/>
      <c r="G46" s="44"/>
      <c r="H46" s="44"/>
      <c r="I46" s="44"/>
      <c r="J46" s="44"/>
    </row>
    <row r="47" spans="1:10" x14ac:dyDescent="0.25">
      <c r="A47" s="39"/>
      <c r="B47" s="12" t="s">
        <v>40</v>
      </c>
      <c r="C47" s="13"/>
      <c r="D47" s="13"/>
      <c r="E47" s="50"/>
      <c r="F47" s="50">
        <f>F45</f>
        <v>35.419649999999997</v>
      </c>
      <c r="G47" s="50">
        <f t="shared" ref="G47:J47" si="10">G45</f>
        <v>50.357842160000004</v>
      </c>
      <c r="H47" s="50">
        <f t="shared" si="10"/>
        <v>57.960638258384016</v>
      </c>
      <c r="I47" s="50">
        <f t="shared" si="10"/>
        <v>66.130544267031425</v>
      </c>
      <c r="J47" s="51">
        <f t="shared" si="10"/>
        <v>74.907640290696719</v>
      </c>
    </row>
    <row r="48" spans="1:10" x14ac:dyDescent="0.25">
      <c r="A48" s="39"/>
      <c r="B48" s="15" t="s">
        <v>43</v>
      </c>
      <c r="C48" s="11"/>
      <c r="D48" s="11"/>
      <c r="E48" s="46"/>
      <c r="F48" s="46">
        <f>-F31</f>
        <v>48.667499999999997</v>
      </c>
      <c r="G48" s="46">
        <f t="shared" ref="G48:J48" si="11">-G31</f>
        <v>50.614199999999997</v>
      </c>
      <c r="H48" s="46">
        <f t="shared" si="11"/>
        <v>52.638768000000006</v>
      </c>
      <c r="I48" s="46">
        <f t="shared" si="11"/>
        <v>54.74431872000001</v>
      </c>
      <c r="J48" s="52">
        <f t="shared" si="11"/>
        <v>56.93409146880002</v>
      </c>
    </row>
    <row r="49" spans="1:12" x14ac:dyDescent="0.25">
      <c r="A49" s="39"/>
      <c r="B49" s="15" t="s">
        <v>44</v>
      </c>
      <c r="C49" s="11"/>
      <c r="D49" s="11"/>
      <c r="E49" s="46"/>
      <c r="F49" s="46">
        <f>-F26*F21</f>
        <v>-13.518750000000001</v>
      </c>
      <c r="G49" s="46">
        <f t="shared" ref="G49:J49" si="12">-G26*G21</f>
        <v>-14.0595</v>
      </c>
      <c r="H49" s="46">
        <f t="shared" si="12"/>
        <v>-14.621880000000003</v>
      </c>
      <c r="I49" s="46">
        <f t="shared" si="12"/>
        <v>-15.206755200000003</v>
      </c>
      <c r="J49" s="52">
        <f t="shared" si="12"/>
        <v>-15.815025408000006</v>
      </c>
    </row>
    <row r="50" spans="1:12" x14ac:dyDescent="0.25">
      <c r="A50" s="39"/>
      <c r="B50" s="15" t="s">
        <v>45</v>
      </c>
      <c r="C50" s="11"/>
      <c r="D50" s="11"/>
      <c r="E50" s="46"/>
      <c r="F50" s="46">
        <f>-F24</f>
        <v>-1.1000000000000001</v>
      </c>
      <c r="G50" s="46">
        <f t="shared" ref="G50:J50" si="13">-G24</f>
        <v>-1.5</v>
      </c>
      <c r="H50" s="46">
        <f t="shared" si="13"/>
        <v>-1.6</v>
      </c>
      <c r="I50" s="46">
        <f t="shared" si="13"/>
        <v>-1.6</v>
      </c>
      <c r="J50" s="52">
        <f t="shared" si="13"/>
        <v>-1.7</v>
      </c>
    </row>
    <row r="51" spans="1:12" x14ac:dyDescent="0.25">
      <c r="A51" s="39"/>
      <c r="B51" s="14" t="s">
        <v>46</v>
      </c>
      <c r="C51" s="10"/>
      <c r="D51" s="10"/>
      <c r="E51" s="45"/>
      <c r="F51" s="53">
        <f>F47+F48+F49+F50</f>
        <v>69.468400000000003</v>
      </c>
      <c r="G51" s="53">
        <f t="shared" ref="G51:J51" si="14">G47+G48+G49+G50</f>
        <v>85.412542160000001</v>
      </c>
      <c r="H51" s="53">
        <f t="shared" si="14"/>
        <v>94.377526258384023</v>
      </c>
      <c r="I51" s="53">
        <f t="shared" si="14"/>
        <v>104.06810778703144</v>
      </c>
      <c r="J51" s="54">
        <f t="shared" si="14"/>
        <v>114.32670635149671</v>
      </c>
    </row>
    <row r="52" spans="1:12" x14ac:dyDescent="0.25">
      <c r="A52" s="39"/>
      <c r="E52" s="44"/>
      <c r="F52" s="44"/>
      <c r="G52" s="44"/>
      <c r="H52" s="44"/>
      <c r="I52" s="44"/>
      <c r="J52" s="44"/>
    </row>
    <row r="53" spans="1:12" x14ac:dyDescent="0.25">
      <c r="A53" s="39"/>
      <c r="B53" s="11" t="s">
        <v>47</v>
      </c>
      <c r="E53" s="44"/>
      <c r="F53" s="44">
        <f>F41*(1-$C$44)</f>
        <v>76.894649999999999</v>
      </c>
      <c r="G53" s="44">
        <f t="shared" ref="G53:J53" si="15">G41*(1-$C$44)</f>
        <v>88.856040000000007</v>
      </c>
      <c r="H53" s="44">
        <f t="shared" si="15"/>
        <v>92.410281600000019</v>
      </c>
      <c r="I53" s="44">
        <f t="shared" si="15"/>
        <v>96.106692864000024</v>
      </c>
      <c r="J53" s="44">
        <f t="shared" si="15"/>
        <v>99.950960578560043</v>
      </c>
    </row>
    <row r="54" spans="1:12" x14ac:dyDescent="0.25">
      <c r="A54" s="39"/>
      <c r="B54" s="17" t="s">
        <v>43</v>
      </c>
      <c r="E54" s="44"/>
      <c r="F54" s="44">
        <f>F48</f>
        <v>48.667499999999997</v>
      </c>
      <c r="G54" s="44">
        <f t="shared" ref="G54:J54" si="16">G48</f>
        <v>50.614199999999997</v>
      </c>
      <c r="H54" s="44">
        <f t="shared" si="16"/>
        <v>52.638768000000006</v>
      </c>
      <c r="I54" s="44">
        <f t="shared" si="16"/>
        <v>54.74431872000001</v>
      </c>
      <c r="J54" s="44">
        <f t="shared" si="16"/>
        <v>56.93409146880002</v>
      </c>
    </row>
    <row r="55" spans="1:12" x14ac:dyDescent="0.25">
      <c r="A55" s="39"/>
      <c r="B55" s="17" t="s">
        <v>44</v>
      </c>
      <c r="E55" s="44"/>
      <c r="F55" s="44">
        <f t="shared" ref="F55:J55" si="17">F49</f>
        <v>-13.518750000000001</v>
      </c>
      <c r="G55" s="44">
        <f t="shared" si="17"/>
        <v>-14.0595</v>
      </c>
      <c r="H55" s="44">
        <f t="shared" si="17"/>
        <v>-14.621880000000003</v>
      </c>
      <c r="I55" s="44">
        <f t="shared" si="17"/>
        <v>-15.206755200000003</v>
      </c>
      <c r="J55" s="44">
        <f t="shared" si="17"/>
        <v>-15.815025408000006</v>
      </c>
    </row>
    <row r="56" spans="1:12" x14ac:dyDescent="0.25">
      <c r="A56" s="39"/>
      <c r="B56" s="18" t="s">
        <v>45</v>
      </c>
      <c r="E56" s="44"/>
      <c r="F56" s="44">
        <f t="shared" ref="F56:J56" si="18">F50</f>
        <v>-1.1000000000000001</v>
      </c>
      <c r="G56" s="44">
        <f t="shared" si="18"/>
        <v>-1.5</v>
      </c>
      <c r="H56" s="44">
        <f t="shared" si="18"/>
        <v>-1.6</v>
      </c>
      <c r="I56" s="44">
        <f t="shared" si="18"/>
        <v>-1.6</v>
      </c>
      <c r="J56" s="44">
        <f t="shared" si="18"/>
        <v>-1.7</v>
      </c>
    </row>
    <row r="57" spans="1:12" x14ac:dyDescent="0.25">
      <c r="A57" s="39"/>
      <c r="B57" s="12" t="s">
        <v>48</v>
      </c>
      <c r="C57" s="13"/>
      <c r="D57" s="13"/>
      <c r="E57" s="50"/>
      <c r="F57" s="50">
        <f>F53+F54+F55+F56</f>
        <v>110.94340000000001</v>
      </c>
      <c r="G57" s="50">
        <f t="shared" ref="G57:J57" si="19">G53+G54+G55+G56</f>
        <v>123.91073999999999</v>
      </c>
      <c r="H57" s="50">
        <f t="shared" si="19"/>
        <v>128.82716960000002</v>
      </c>
      <c r="I57" s="50">
        <f t="shared" si="19"/>
        <v>134.04425638400005</v>
      </c>
      <c r="J57" s="51">
        <f t="shared" si="19"/>
        <v>139.37002663936008</v>
      </c>
    </row>
    <row r="58" spans="1:12" x14ac:dyDescent="0.25">
      <c r="A58" s="39"/>
      <c r="B58" s="15" t="s">
        <v>49</v>
      </c>
      <c r="C58" s="11"/>
      <c r="D58" s="11"/>
      <c r="E58" s="46"/>
      <c r="F58" s="46">
        <f>F42*(1-$C$44)</f>
        <v>-41.475000000000001</v>
      </c>
      <c r="G58" s="46">
        <f t="shared" ref="G58:J58" si="20">G42*(1-$C$44)</f>
        <v>-38.498197840000003</v>
      </c>
      <c r="H58" s="46">
        <f t="shared" si="20"/>
        <v>-34.449643341615996</v>
      </c>
      <c r="I58" s="46">
        <f t="shared" si="20"/>
        <v>-29.976148596968596</v>
      </c>
      <c r="J58" s="52">
        <f t="shared" si="20"/>
        <v>-25.04332028786331</v>
      </c>
      <c r="L58" s="3"/>
    </row>
    <row r="59" spans="1:12" x14ac:dyDescent="0.25">
      <c r="A59" s="39"/>
      <c r="B59" s="14" t="s">
        <v>46</v>
      </c>
      <c r="C59" s="10"/>
      <c r="D59" s="10"/>
      <c r="E59" s="45"/>
      <c r="F59" s="53">
        <f>F57+F58</f>
        <v>69.468400000000003</v>
      </c>
      <c r="G59" s="53">
        <f t="shared" ref="G59:J59" si="21">G57+G58</f>
        <v>85.412542159999987</v>
      </c>
      <c r="H59" s="53">
        <f t="shared" si="21"/>
        <v>94.377526258384023</v>
      </c>
      <c r="I59" s="53">
        <f t="shared" si="21"/>
        <v>104.06810778703145</v>
      </c>
      <c r="J59" s="54">
        <f t="shared" si="21"/>
        <v>114.32670635149677</v>
      </c>
    </row>
    <row r="62" spans="1:12" ht="19.5" x14ac:dyDescent="0.3">
      <c r="A62" s="39" t="s">
        <v>50</v>
      </c>
      <c r="B62" s="61" t="s">
        <v>51</v>
      </c>
      <c r="C62" s="61"/>
      <c r="D62" s="61"/>
      <c r="E62" s="61"/>
      <c r="F62" s="61"/>
      <c r="G62" s="61"/>
      <c r="H62" s="61"/>
      <c r="I62" s="61"/>
      <c r="J62" s="61"/>
    </row>
    <row r="63" spans="1:12" x14ac:dyDescent="0.25">
      <c r="A63" s="39"/>
      <c r="E63" s="5">
        <v>0</v>
      </c>
      <c r="F63" s="5">
        <v>1</v>
      </c>
      <c r="G63" s="5">
        <v>2</v>
      </c>
      <c r="H63" s="5">
        <v>3</v>
      </c>
      <c r="I63" s="5">
        <v>4</v>
      </c>
      <c r="J63" s="5">
        <v>5</v>
      </c>
    </row>
    <row r="64" spans="1:12" x14ac:dyDescent="0.25">
      <c r="A64" s="39"/>
      <c r="B64" t="s">
        <v>52</v>
      </c>
      <c r="E64" s="44"/>
      <c r="F64" s="55">
        <v>10</v>
      </c>
      <c r="G64" s="55">
        <v>10</v>
      </c>
      <c r="H64" s="55">
        <v>10</v>
      </c>
      <c r="I64" s="55">
        <v>10</v>
      </c>
      <c r="J64" s="55">
        <v>10</v>
      </c>
    </row>
    <row r="65" spans="2:12" x14ac:dyDescent="0.25">
      <c r="E65" s="44"/>
      <c r="F65" s="44"/>
      <c r="G65" s="44"/>
      <c r="H65" s="44"/>
      <c r="I65" s="44"/>
      <c r="J65" s="44"/>
    </row>
    <row r="66" spans="2:12" x14ac:dyDescent="0.25">
      <c r="B66" t="s">
        <v>53</v>
      </c>
      <c r="C66" s="27">
        <v>0.02</v>
      </c>
      <c r="E66" s="44"/>
      <c r="F66" s="44"/>
      <c r="G66" s="44"/>
      <c r="H66" s="44"/>
      <c r="I66" s="44"/>
      <c r="J66" s="44"/>
    </row>
    <row r="67" spans="2:12" x14ac:dyDescent="0.25">
      <c r="B67" t="s">
        <v>54</v>
      </c>
      <c r="E67" s="44"/>
      <c r="F67" s="44">
        <f>C6</f>
        <v>500</v>
      </c>
      <c r="G67" s="44">
        <f>F70</f>
        <v>440.53160000000003</v>
      </c>
      <c r="H67" s="44">
        <f t="shared" ref="H67:J67" si="22">G70</f>
        <v>355.11905784000004</v>
      </c>
      <c r="I67" s="44">
        <f t="shared" si="22"/>
        <v>260.74153158161602</v>
      </c>
      <c r="J67" s="44">
        <f t="shared" si="22"/>
        <v>156.67342379458458</v>
      </c>
    </row>
    <row r="68" spans="2:12" x14ac:dyDescent="0.25">
      <c r="B68" s="17" t="s">
        <v>55</v>
      </c>
      <c r="E68" s="44"/>
      <c r="F68" s="44">
        <f>-IF(F51-F64&gt;25,25,F51-F64)</f>
        <v>-25</v>
      </c>
      <c r="G68" s="44">
        <f>-IF(G51&gt;25,25,G51)</f>
        <v>-25</v>
      </c>
      <c r="H68" s="44">
        <f>-IF(H51&gt;25,25,H51)</f>
        <v>-25</v>
      </c>
      <c r="I68" s="44">
        <f>-IF(I51&gt;25,25,I51)</f>
        <v>-25</v>
      </c>
      <c r="J68" s="44">
        <f>-IF(J51&gt;25,25,J51)</f>
        <v>-25</v>
      </c>
    </row>
    <row r="69" spans="2:12" x14ac:dyDescent="0.25">
      <c r="B69" s="17" t="s">
        <v>56</v>
      </c>
      <c r="E69" s="44"/>
      <c r="F69" s="44">
        <f>-MIN(F51-F64+F68,F67+F68)</f>
        <v>-34.468400000000003</v>
      </c>
      <c r="G69" s="44">
        <f>-MIN(G51+G68,G67+G68)</f>
        <v>-60.412542160000001</v>
      </c>
      <c r="H69" s="44">
        <f>-MIN(H51+H68,H67+H68)</f>
        <v>-69.377526258384023</v>
      </c>
      <c r="I69" s="44">
        <f>-MIN(I51+I68,I67+I68)</f>
        <v>-79.068107787031437</v>
      </c>
      <c r="J69" s="44">
        <f>-MIN(J51+J68,J67+J68)</f>
        <v>-89.326706351496711</v>
      </c>
      <c r="L69" s="44"/>
    </row>
    <row r="70" spans="2:12" x14ac:dyDescent="0.25">
      <c r="B70" t="s">
        <v>57</v>
      </c>
      <c r="E70" s="44"/>
      <c r="F70" s="44">
        <f>F67+F68+F69</f>
        <v>440.53160000000003</v>
      </c>
      <c r="G70" s="44">
        <f t="shared" ref="G70:J70" si="23">G67+G68+G69</f>
        <v>355.11905784000004</v>
      </c>
      <c r="H70" s="44">
        <f t="shared" si="23"/>
        <v>260.74153158161602</v>
      </c>
      <c r="I70" s="44">
        <f t="shared" si="23"/>
        <v>156.67342379458458</v>
      </c>
      <c r="J70" s="44">
        <f t="shared" si="23"/>
        <v>42.346717443087869</v>
      </c>
    </row>
    <row r="71" spans="2:12" x14ac:dyDescent="0.25">
      <c r="E71" s="44"/>
      <c r="F71" s="44"/>
      <c r="G71" s="44"/>
      <c r="H71" s="44"/>
      <c r="I71" s="44"/>
      <c r="J71" s="44"/>
    </row>
    <row r="72" spans="2:12" x14ac:dyDescent="0.25">
      <c r="B72" s="1" t="s">
        <v>58</v>
      </c>
      <c r="C72" t="s">
        <v>59</v>
      </c>
      <c r="D72" s="27">
        <v>0.04</v>
      </c>
      <c r="E72" s="44"/>
      <c r="F72" s="56">
        <f>F67*($C$66+$D$72)</f>
        <v>30</v>
      </c>
      <c r="G72" s="56">
        <f t="shared" ref="G72:J72" si="24">G67*($C$66+$D$72)</f>
        <v>26.431896000000002</v>
      </c>
      <c r="H72" s="56">
        <f t="shared" si="24"/>
        <v>21.3071434704</v>
      </c>
      <c r="I72" s="56">
        <f t="shared" si="24"/>
        <v>15.64449189489696</v>
      </c>
      <c r="J72" s="56">
        <f t="shared" si="24"/>
        <v>9.400405427675075</v>
      </c>
    </row>
    <row r="73" spans="2:12" x14ac:dyDescent="0.25">
      <c r="E73" s="44"/>
      <c r="F73" s="44"/>
      <c r="G73" s="44"/>
      <c r="H73" s="44"/>
      <c r="I73" s="44"/>
      <c r="J73" s="44"/>
    </row>
    <row r="74" spans="2:12" x14ac:dyDescent="0.25">
      <c r="B74" t="s">
        <v>60</v>
      </c>
      <c r="E74" s="44"/>
      <c r="F74" s="44">
        <f>C7</f>
        <v>250</v>
      </c>
      <c r="G74" s="44">
        <f>F74</f>
        <v>250</v>
      </c>
      <c r="H74" s="44">
        <f t="shared" ref="H74:J74" si="25">G74</f>
        <v>250</v>
      </c>
      <c r="I74" s="44">
        <f t="shared" si="25"/>
        <v>250</v>
      </c>
      <c r="J74" s="44">
        <f t="shared" si="25"/>
        <v>250</v>
      </c>
    </row>
    <row r="75" spans="2:12" x14ac:dyDescent="0.25">
      <c r="B75" t="s">
        <v>61</v>
      </c>
      <c r="E75" s="44"/>
      <c r="F75" s="45"/>
      <c r="G75" s="45"/>
      <c r="H75" s="45"/>
      <c r="I75" s="45"/>
      <c r="J75" s="45"/>
    </row>
    <row r="76" spans="2:12" x14ac:dyDescent="0.25">
      <c r="B76" t="s">
        <v>57</v>
      </c>
      <c r="E76" s="44"/>
      <c r="F76" s="44">
        <f>F74-F75</f>
        <v>250</v>
      </c>
      <c r="G76" s="44">
        <f t="shared" ref="G76:J76" si="26">G74-G75</f>
        <v>250</v>
      </c>
      <c r="H76" s="44">
        <f t="shared" si="26"/>
        <v>250</v>
      </c>
      <c r="I76" s="44">
        <f t="shared" si="26"/>
        <v>250</v>
      </c>
      <c r="J76" s="44">
        <f t="shared" si="26"/>
        <v>250</v>
      </c>
    </row>
    <row r="77" spans="2:12" x14ac:dyDescent="0.25">
      <c r="E77" s="44"/>
      <c r="F77" s="44"/>
      <c r="G77" s="44"/>
      <c r="H77" s="44"/>
      <c r="I77" s="44"/>
      <c r="J77" s="44"/>
    </row>
    <row r="78" spans="2:12" x14ac:dyDescent="0.25">
      <c r="B78" s="1" t="s">
        <v>62</v>
      </c>
      <c r="C78" s="27">
        <v>0.09</v>
      </c>
      <c r="E78" s="44"/>
      <c r="F78" s="56">
        <f>F74*$C$78</f>
        <v>22.5</v>
      </c>
      <c r="G78" s="56">
        <f t="shared" ref="G78:J78" si="27">G74*$C$78</f>
        <v>22.5</v>
      </c>
      <c r="H78" s="56">
        <f t="shared" si="27"/>
        <v>22.5</v>
      </c>
      <c r="I78" s="56">
        <f t="shared" si="27"/>
        <v>22.5</v>
      </c>
      <c r="J78" s="56">
        <f t="shared" si="27"/>
        <v>22.5</v>
      </c>
    </row>
    <row r="79" spans="2:12" x14ac:dyDescent="0.25">
      <c r="E79" s="44"/>
      <c r="F79" s="44"/>
      <c r="G79" s="44"/>
      <c r="H79" s="44"/>
      <c r="I79" s="44"/>
      <c r="J79" s="44"/>
    </row>
    <row r="80" spans="2:12" x14ac:dyDescent="0.25">
      <c r="B80" s="1" t="s">
        <v>63</v>
      </c>
      <c r="E80" s="44"/>
      <c r="F80" s="56">
        <f>F72+F78</f>
        <v>52.5</v>
      </c>
      <c r="G80" s="56">
        <f t="shared" ref="G80:J80" si="28">G72+G78</f>
        <v>48.931896000000002</v>
      </c>
      <c r="H80" s="56">
        <f t="shared" si="28"/>
        <v>43.8071434704</v>
      </c>
      <c r="I80" s="56">
        <f t="shared" si="28"/>
        <v>38.144491894896959</v>
      </c>
      <c r="J80" s="56">
        <f t="shared" si="28"/>
        <v>31.900405427675075</v>
      </c>
    </row>
    <row r="81" spans="1:10" x14ac:dyDescent="0.25">
      <c r="A81" s="39"/>
      <c r="B81" t="s">
        <v>37</v>
      </c>
      <c r="E81" s="44"/>
      <c r="F81" s="44">
        <f>F80-$C$66*E64</f>
        <v>52.5</v>
      </c>
      <c r="G81" s="44">
        <f>G80-$C$66*F64</f>
        <v>48.731895999999999</v>
      </c>
      <c r="H81" s="44">
        <f>H80-$C$66*G64</f>
        <v>43.607143470399997</v>
      </c>
      <c r="I81" s="44">
        <f>I80-$C$66*H64</f>
        <v>37.944491894896956</v>
      </c>
      <c r="J81" s="44">
        <f>J80-$C$66*I64</f>
        <v>31.700405427675076</v>
      </c>
    </row>
    <row r="82" spans="1:10" x14ac:dyDescent="0.25">
      <c r="A82" s="39"/>
      <c r="E82" s="44"/>
      <c r="F82" s="44"/>
      <c r="G82" s="44"/>
      <c r="H82" s="44"/>
      <c r="I82" s="44"/>
      <c r="J82" s="44"/>
    </row>
    <row r="83" spans="1:10" x14ac:dyDescent="0.25">
      <c r="A83" s="39"/>
      <c r="B83" s="1" t="s">
        <v>65</v>
      </c>
      <c r="E83" s="44"/>
      <c r="F83" s="44"/>
      <c r="G83" s="44"/>
      <c r="H83" s="44"/>
      <c r="I83" s="44"/>
      <c r="J83" s="44"/>
    </row>
    <row r="84" spans="1:10" x14ac:dyDescent="0.25">
      <c r="A84" s="39"/>
      <c r="B84" t="s">
        <v>16</v>
      </c>
      <c r="E84" s="44">
        <f>F67+F74</f>
        <v>750</v>
      </c>
      <c r="F84" s="44">
        <f>F70+F76</f>
        <v>690.53160000000003</v>
      </c>
      <c r="G84" s="44">
        <f>G70+G76</f>
        <v>605.1190578400001</v>
      </c>
      <c r="H84" s="44">
        <f>H70+H76</f>
        <v>510.74153158161602</v>
      </c>
      <c r="I84" s="44">
        <f>I70+I76</f>
        <v>406.67342379458455</v>
      </c>
      <c r="J84" s="44">
        <f>J70+J76</f>
        <v>292.34671744308787</v>
      </c>
    </row>
    <row r="85" spans="1:10" x14ac:dyDescent="0.25">
      <c r="A85" s="39"/>
      <c r="B85" t="s">
        <v>66</v>
      </c>
      <c r="F85" s="7">
        <f>F84/F30</f>
        <v>4.7295875070632354</v>
      </c>
      <c r="G85" s="7">
        <f>G84/G30</f>
        <v>3.7103336548731938</v>
      </c>
      <c r="H85" s="7">
        <f>H84/H30</f>
        <v>3.0112025524573798</v>
      </c>
      <c r="I85" s="7">
        <f>I84/I30</f>
        <v>2.3054263262813102</v>
      </c>
      <c r="J85" s="7">
        <f>J84/J30</f>
        <v>1.5935670400569737</v>
      </c>
    </row>
    <row r="86" spans="1:10" x14ac:dyDescent="0.25">
      <c r="A86" s="39"/>
      <c r="B86" t="s">
        <v>67</v>
      </c>
      <c r="F86" s="7">
        <f>F30/F80</f>
        <v>2.7810000000000001</v>
      </c>
      <c r="G86" s="7">
        <f t="shared" ref="G86:J86" si="29">G30/G80</f>
        <v>3.3330038958637527</v>
      </c>
      <c r="H86" s="7">
        <f t="shared" si="29"/>
        <v>3.8718299017740385</v>
      </c>
      <c r="I86" s="7">
        <f t="shared" si="29"/>
        <v>4.6244779142961647</v>
      </c>
      <c r="J86" s="7">
        <f t="shared" si="29"/>
        <v>5.7508452407832094</v>
      </c>
    </row>
    <row r="87" spans="1:10" x14ac:dyDescent="0.25">
      <c r="A87" s="39"/>
      <c r="B87" t="s">
        <v>68</v>
      </c>
      <c r="F87" s="7">
        <f>(F30+F49)/F80</f>
        <v>2.5234999999999999</v>
      </c>
      <c r="G87" s="7">
        <f t="shared" ref="G87:J87" si="30">(G30+G49)/G80</f>
        <v>3.0456759738065324</v>
      </c>
      <c r="H87" s="7">
        <f t="shared" si="30"/>
        <v>3.5380514619659316</v>
      </c>
      <c r="I87" s="7">
        <f t="shared" si="30"/>
        <v>4.2258160251327022</v>
      </c>
      <c r="J87" s="7">
        <f t="shared" si="30"/>
        <v>5.2550827200260368</v>
      </c>
    </row>
    <row r="90" spans="1:10" ht="19.5" x14ac:dyDescent="0.3">
      <c r="A90" s="39" t="s">
        <v>69</v>
      </c>
      <c r="B90" s="61" t="s">
        <v>70</v>
      </c>
      <c r="C90" s="61"/>
      <c r="D90" s="61"/>
      <c r="E90" s="61"/>
      <c r="F90" s="61"/>
      <c r="G90" s="61"/>
      <c r="H90" s="61"/>
      <c r="I90" s="61"/>
      <c r="J90" s="61"/>
    </row>
    <row r="91" spans="1:10" x14ac:dyDescent="0.25">
      <c r="A91" s="39"/>
      <c r="E91" s="5">
        <v>0</v>
      </c>
      <c r="F91" s="5">
        <v>1</v>
      </c>
      <c r="G91" s="5">
        <v>2</v>
      </c>
      <c r="H91" s="5">
        <v>3</v>
      </c>
      <c r="I91" s="5">
        <v>4</v>
      </c>
      <c r="J91" s="5">
        <v>5</v>
      </c>
    </row>
    <row r="92" spans="1:10" x14ac:dyDescent="0.25">
      <c r="A92" s="39"/>
      <c r="B92" t="s">
        <v>35</v>
      </c>
      <c r="J92" s="44">
        <f>J30</f>
        <v>183.45429473280007</v>
      </c>
    </row>
    <row r="93" spans="1:10" x14ac:dyDescent="0.25">
      <c r="A93" s="39"/>
      <c r="B93" t="s">
        <v>71</v>
      </c>
      <c r="J93" s="20">
        <f>D13</f>
        <v>8.4992343032159265</v>
      </c>
    </row>
    <row r="94" spans="1:10" x14ac:dyDescent="0.25">
      <c r="A94" s="39"/>
      <c r="B94" t="s">
        <v>72</v>
      </c>
      <c r="J94" s="44">
        <f>J92*J93</f>
        <v>1559.2210348652991</v>
      </c>
    </row>
    <row r="95" spans="1:10" x14ac:dyDescent="0.25">
      <c r="A95" s="39"/>
      <c r="B95" s="17" t="s">
        <v>73</v>
      </c>
      <c r="J95" s="44">
        <f>J64</f>
        <v>10</v>
      </c>
    </row>
    <row r="96" spans="1:10" x14ac:dyDescent="0.25">
      <c r="B96" s="17" t="s">
        <v>74</v>
      </c>
      <c r="J96" s="44">
        <f>-J84</f>
        <v>-292.34671744308787</v>
      </c>
    </row>
    <row r="97" spans="2:10" x14ac:dyDescent="0.25">
      <c r="B97" t="s">
        <v>75</v>
      </c>
      <c r="J97" s="44">
        <f>J94+J95+J96</f>
        <v>1276.8743174222113</v>
      </c>
    </row>
    <row r="98" spans="2:10" x14ac:dyDescent="0.25">
      <c r="J98" s="44"/>
    </row>
    <row r="99" spans="2:10" x14ac:dyDescent="0.25">
      <c r="B99" t="s">
        <v>76</v>
      </c>
      <c r="E99" s="58">
        <f>-C10</f>
        <v>-400</v>
      </c>
      <c r="F99" s="28">
        <v>0</v>
      </c>
      <c r="G99" s="28">
        <v>0</v>
      </c>
      <c r="H99" s="28">
        <v>0</v>
      </c>
      <c r="I99" s="28">
        <v>0</v>
      </c>
      <c r="J99" s="57">
        <f>J97</f>
        <v>1276.8743174222113</v>
      </c>
    </row>
    <row r="101" spans="2:10" x14ac:dyDescent="0.25">
      <c r="B101" s="12" t="s">
        <v>77</v>
      </c>
      <c r="C101" s="29">
        <f>IRR(E99:J99)</f>
        <v>0.26129778221752642</v>
      </c>
    </row>
    <row r="102" spans="2:10" x14ac:dyDescent="0.25">
      <c r="B102" s="30" t="s">
        <v>78</v>
      </c>
      <c r="C102" s="31">
        <f>J99/-E99</f>
        <v>3.1921857935555282</v>
      </c>
    </row>
    <row r="103" spans="2:10" x14ac:dyDescent="0.25">
      <c r="E103" s="62" t="s">
        <v>79</v>
      </c>
      <c r="F103" s="62"/>
      <c r="G103" s="62"/>
      <c r="H103" s="62"/>
      <c r="I103" s="62"/>
      <c r="J103" s="62"/>
    </row>
    <row r="104" spans="2:10" x14ac:dyDescent="0.25">
      <c r="E104" s="39" t="s">
        <v>80</v>
      </c>
      <c r="F104" s="59" t="s">
        <v>81</v>
      </c>
      <c r="G104" s="59"/>
      <c r="H104" s="59"/>
      <c r="I104" s="59"/>
      <c r="J104" s="59"/>
    </row>
    <row r="105" spans="2:10" x14ac:dyDescent="0.25">
      <c r="E105" s="42">
        <f>C101</f>
        <v>0.26129778221752642</v>
      </c>
      <c r="F105" s="32">
        <v>7.5</v>
      </c>
      <c r="G105" s="32">
        <v>8</v>
      </c>
      <c r="H105" s="32">
        <v>8.5</v>
      </c>
      <c r="I105" s="32">
        <v>9</v>
      </c>
      <c r="J105" s="32">
        <v>9.5</v>
      </c>
    </row>
    <row r="106" spans="2:10" x14ac:dyDescent="0.25">
      <c r="E106" s="52">
        <v>146.80000000000001</v>
      </c>
      <c r="F106" s="8">
        <f t="dataTable" ref="F106:J110" dt2D="1" dtr="1" r1="J92" r2="J93" ca="1"/>
        <v>0.15400583100579435</v>
      </c>
      <c r="G106" s="8">
        <v>0.17399476642794176</v>
      </c>
      <c r="H106" s="8">
        <v>0.19270833552084876</v>
      </c>
      <c r="I106" s="8">
        <v>0.21031619633436338</v>
      </c>
      <c r="J106" s="8">
        <v>0.22695530002781217</v>
      </c>
    </row>
    <row r="107" spans="2:10" x14ac:dyDescent="0.25">
      <c r="E107" s="52">
        <v>165.2</v>
      </c>
      <c r="F107" s="8">
        <v>0.19052608361624723</v>
      </c>
      <c r="G107" s="8">
        <v>0.21040938599659387</v>
      </c>
      <c r="H107" s="8">
        <v>0.22906602692152656</v>
      </c>
      <c r="I107" s="8">
        <v>0.24665416880795776</v>
      </c>
      <c r="J107" s="8">
        <v>0.26330235882308362</v>
      </c>
    </row>
    <row r="108" spans="2:10" x14ac:dyDescent="0.25">
      <c r="D108" t="s">
        <v>35</v>
      </c>
      <c r="E108" s="52">
        <v>183.5</v>
      </c>
      <c r="F108" s="8">
        <v>0.22287984401785677</v>
      </c>
      <c r="G108" s="8">
        <v>0.24273790012011309</v>
      </c>
      <c r="H108" s="8">
        <v>0.26140226736744365</v>
      </c>
      <c r="I108" s="8">
        <v>0.27902318227177325</v>
      </c>
      <c r="J108" s="8">
        <v>0.29572337844390262</v>
      </c>
    </row>
    <row r="109" spans="2:10" x14ac:dyDescent="0.25">
      <c r="E109" s="52">
        <v>201.9</v>
      </c>
      <c r="F109" s="8">
        <v>0.25228541994324383</v>
      </c>
      <c r="G109" s="8">
        <v>0.27216801095837639</v>
      </c>
      <c r="H109" s="8">
        <v>0.29088012960059051</v>
      </c>
      <c r="I109" s="8">
        <v>0.3085662528847779</v>
      </c>
      <c r="J109" s="8">
        <v>0.32534488640560988</v>
      </c>
    </row>
    <row r="110" spans="2:10" x14ac:dyDescent="0.25">
      <c r="E110" s="52">
        <v>220.2</v>
      </c>
      <c r="F110" s="8">
        <v>0.27902318227177325</v>
      </c>
      <c r="G110" s="8">
        <v>0.29896219056809481</v>
      </c>
      <c r="H110" s="8">
        <v>0.31774716448673002</v>
      </c>
      <c r="I110" s="8">
        <v>0.33551831380424479</v>
      </c>
      <c r="J110" s="8">
        <v>0.3523910152834453</v>
      </c>
    </row>
    <row r="112" spans="2:10" x14ac:dyDescent="0.25">
      <c r="E112" s="39" t="s">
        <v>82</v>
      </c>
      <c r="F112" s="59" t="s">
        <v>81</v>
      </c>
      <c r="G112" s="59"/>
      <c r="H112" s="59"/>
      <c r="I112" s="59"/>
      <c r="J112" s="59"/>
    </row>
    <row r="113" spans="4:10" x14ac:dyDescent="0.25">
      <c r="E113" s="31">
        <f>C102</f>
        <v>3.1921857935555282</v>
      </c>
      <c r="F113" s="32">
        <v>7.5</v>
      </c>
      <c r="G113" s="32">
        <v>8</v>
      </c>
      <c r="H113" s="32">
        <v>8.5</v>
      </c>
      <c r="I113" s="32">
        <v>9</v>
      </c>
      <c r="J113" s="32">
        <v>9.5</v>
      </c>
    </row>
    <row r="114" spans="4:10" x14ac:dyDescent="0.25">
      <c r="E114" s="52">
        <v>146.80000000000001</v>
      </c>
      <c r="F114" s="7">
        <f t="dataTable" ref="F114:J118" dt2D="1" dtr="1" r1="J92" r2="J93"/>
        <v>2.0466332063922805</v>
      </c>
      <c r="G114" s="7">
        <v>2.2301332063922805</v>
      </c>
      <c r="H114" s="7">
        <v>2.413633206392281</v>
      </c>
      <c r="I114" s="7">
        <v>2.5971332063922805</v>
      </c>
      <c r="J114" s="7">
        <v>2.780633206392281</v>
      </c>
    </row>
    <row r="115" spans="4:10" x14ac:dyDescent="0.25">
      <c r="E115" s="52">
        <v>165.2</v>
      </c>
      <c r="F115" s="7">
        <v>2.3916332063922803</v>
      </c>
      <c r="G115" s="7">
        <v>2.59813320639228</v>
      </c>
      <c r="H115" s="7">
        <v>2.8046332063922796</v>
      </c>
      <c r="I115" s="7">
        <v>3.0111332063922807</v>
      </c>
      <c r="J115" s="7">
        <v>3.2176332063922803</v>
      </c>
    </row>
    <row r="116" spans="4:10" x14ac:dyDescent="0.25">
      <c r="D116" t="s">
        <v>35</v>
      </c>
      <c r="E116" s="52">
        <v>183.5</v>
      </c>
      <c r="F116" s="7">
        <v>2.73475820639228</v>
      </c>
      <c r="G116" s="7">
        <v>2.9641332063922801</v>
      </c>
      <c r="H116" s="7">
        <v>3.1935082063922802</v>
      </c>
      <c r="I116" s="7">
        <v>3.4228832063922798</v>
      </c>
      <c r="J116" s="7">
        <v>3.6522582063922799</v>
      </c>
    </row>
    <row r="117" spans="4:10" x14ac:dyDescent="0.25">
      <c r="E117" s="52">
        <v>201.9</v>
      </c>
      <c r="F117" s="7">
        <v>3.0797582063922802</v>
      </c>
      <c r="G117" s="7">
        <v>3.3321332063922808</v>
      </c>
      <c r="H117" s="7">
        <v>3.5845082063922802</v>
      </c>
      <c r="I117" s="7">
        <v>3.8368832063922809</v>
      </c>
      <c r="J117" s="7">
        <v>4.0892582063922802</v>
      </c>
    </row>
    <row r="118" spans="4:10" x14ac:dyDescent="0.25">
      <c r="E118" s="52">
        <v>220.2</v>
      </c>
      <c r="F118" s="7">
        <v>3.4228832063922798</v>
      </c>
      <c r="G118" s="7">
        <v>3.6981332063922796</v>
      </c>
      <c r="H118" s="7">
        <v>3.9733832063922794</v>
      </c>
      <c r="I118" s="7">
        <v>4.2486332063922809</v>
      </c>
      <c r="J118" s="7">
        <v>4.5238832063922807</v>
      </c>
    </row>
  </sheetData>
  <mergeCells count="8">
    <mergeCell ref="F112:J112"/>
    <mergeCell ref="M2:Q2"/>
    <mergeCell ref="F104:J104"/>
    <mergeCell ref="B2:J2"/>
    <mergeCell ref="B39:J39"/>
    <mergeCell ref="B62:J62"/>
    <mergeCell ref="B90:J90"/>
    <mergeCell ref="E103:J10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9"/>
  <sheetViews>
    <sheetView zoomScale="110" zoomScaleNormal="110" workbookViewId="0">
      <selection sqref="A1:XFD1048576"/>
    </sheetView>
  </sheetViews>
  <sheetFormatPr defaultRowHeight="15" x14ac:dyDescent="0.25"/>
  <cols>
    <col min="1" max="1" width="9.140625" style="36"/>
    <col min="2" max="2" width="33.7109375" customWidth="1"/>
    <col min="5" max="5" width="9.5703125" bestFit="1" customWidth="1"/>
    <col min="13" max="13" width="18.7109375" bestFit="1" customWidth="1"/>
    <col min="14" max="14" width="7.5703125" customWidth="1"/>
    <col min="16" max="16" width="23.28515625" bestFit="1" customWidth="1"/>
    <col min="17" max="17" width="7" customWidth="1"/>
  </cols>
  <sheetData>
    <row r="2" spans="1:17" ht="19.5" x14ac:dyDescent="0.3">
      <c r="A2" s="39" t="s">
        <v>0</v>
      </c>
      <c r="B2" s="61" t="s">
        <v>1</v>
      </c>
      <c r="C2" s="61"/>
      <c r="D2" s="61"/>
      <c r="E2" s="61"/>
      <c r="F2" s="61"/>
      <c r="G2" s="61"/>
      <c r="H2" s="61"/>
      <c r="I2" s="61"/>
      <c r="J2" s="61"/>
      <c r="M2" s="60" t="s">
        <v>2</v>
      </c>
      <c r="N2" s="60"/>
      <c r="O2" s="60"/>
      <c r="P2" s="60"/>
      <c r="Q2" s="60"/>
    </row>
    <row r="3" spans="1:17" x14ac:dyDescent="0.25">
      <c r="A3" s="39"/>
      <c r="B3" t="s">
        <v>3</v>
      </c>
    </row>
    <row r="4" spans="1:17" x14ac:dyDescent="0.25">
      <c r="A4" s="39"/>
      <c r="M4" s="37" t="s">
        <v>4</v>
      </c>
      <c r="N4" s="37"/>
      <c r="O4" s="37"/>
      <c r="P4" s="37" t="s">
        <v>5</v>
      </c>
    </row>
    <row r="5" spans="1:17" x14ac:dyDescent="0.25">
      <c r="A5" s="39"/>
      <c r="B5" s="1" t="s">
        <v>6</v>
      </c>
      <c r="C5" s="9" t="s">
        <v>7</v>
      </c>
      <c r="D5" s="9" t="s">
        <v>8</v>
      </c>
      <c r="E5" s="9" t="s">
        <v>9</v>
      </c>
      <c r="M5" t="s">
        <v>10</v>
      </c>
      <c r="N5">
        <v>75</v>
      </c>
      <c r="O5" s="41">
        <f>N5/$E$30</f>
        <v>0.57427258805513015</v>
      </c>
      <c r="P5" t="s">
        <v>11</v>
      </c>
      <c r="Q5">
        <v>300</v>
      </c>
    </row>
    <row r="6" spans="1:17" x14ac:dyDescent="0.25">
      <c r="A6" s="39"/>
      <c r="B6" t="s">
        <v>12</v>
      </c>
      <c r="C6" s="19">
        <v>500</v>
      </c>
      <c r="D6" s="20">
        <f>C6/$E$30</f>
        <v>3.8284839203675345</v>
      </c>
      <c r="E6" s="21">
        <f>C6/$C$13</f>
        <v>0.45045045045045046</v>
      </c>
      <c r="M6" t="s">
        <v>12</v>
      </c>
      <c r="N6">
        <v>500</v>
      </c>
      <c r="O6" s="41">
        <f>N6/$E$30</f>
        <v>3.8284839203675345</v>
      </c>
      <c r="P6" t="s">
        <v>13</v>
      </c>
      <c r="Q6">
        <v>885</v>
      </c>
    </row>
    <row r="7" spans="1:17" x14ac:dyDescent="0.25">
      <c r="A7" s="39"/>
      <c r="B7" t="s">
        <v>14</v>
      </c>
      <c r="C7" s="22">
        <v>250</v>
      </c>
      <c r="D7" s="23">
        <f>C7/$E$30</f>
        <v>1.9142419601837672</v>
      </c>
      <c r="E7" s="24">
        <f>C7/$C$13</f>
        <v>0.22522522522522523</v>
      </c>
      <c r="M7" t="s">
        <v>14</v>
      </c>
      <c r="N7">
        <v>250</v>
      </c>
      <c r="O7" s="41">
        <f>N7/$E$30</f>
        <v>1.9142419601837672</v>
      </c>
      <c r="P7" t="s">
        <v>15</v>
      </c>
      <c r="Q7">
        <v>40</v>
      </c>
    </row>
    <row r="8" spans="1:17" x14ac:dyDescent="0.25">
      <c r="A8" s="39"/>
      <c r="B8" s="2" t="s">
        <v>16</v>
      </c>
      <c r="C8" s="19">
        <f>SUM(C6:C7)</f>
        <v>750</v>
      </c>
      <c r="D8" s="20">
        <f>C8/$E$30</f>
        <v>5.7427258805513022</v>
      </c>
      <c r="E8" s="21">
        <f>C8/$C$13</f>
        <v>0.67567567567567566</v>
      </c>
      <c r="M8" t="s">
        <v>17</v>
      </c>
      <c r="N8">
        <v>400</v>
      </c>
      <c r="O8" s="41">
        <f>N8/$E$30</f>
        <v>3.0627871362940278</v>
      </c>
      <c r="P8" t="s">
        <v>18</v>
      </c>
    </row>
    <row r="9" spans="1:17" x14ac:dyDescent="0.25">
      <c r="A9" s="39"/>
      <c r="C9" s="19"/>
      <c r="D9" s="20"/>
      <c r="E9" s="21"/>
      <c r="M9" t="s">
        <v>19</v>
      </c>
      <c r="N9" s="38">
        <f>SUM(N5:N8)</f>
        <v>1225</v>
      </c>
      <c r="O9" s="41">
        <f>N9/$E$30</f>
        <v>9.3797856049004604</v>
      </c>
      <c r="P9" t="s">
        <v>19</v>
      </c>
      <c r="Q9" s="38">
        <f>SUM(Q5:Q8)</f>
        <v>1225</v>
      </c>
    </row>
    <row r="10" spans="1:17" x14ac:dyDescent="0.25">
      <c r="A10" s="39"/>
      <c r="B10" t="s">
        <v>20</v>
      </c>
      <c r="C10" s="22">
        <f>1150-C6-C7</f>
        <v>400</v>
      </c>
      <c r="D10" s="23">
        <f>C10/$E$30</f>
        <v>3.0627871362940278</v>
      </c>
      <c r="E10" s="24">
        <f>C10/$C$13</f>
        <v>0.36036036036036034</v>
      </c>
    </row>
    <row r="11" spans="1:17" x14ac:dyDescent="0.25">
      <c r="A11" s="39"/>
      <c r="B11" t="s">
        <v>21</v>
      </c>
      <c r="C11" s="19">
        <f>C8+C10</f>
        <v>1150</v>
      </c>
      <c r="D11" s="20">
        <f>C11/$E$30</f>
        <v>8.8055130168453299</v>
      </c>
      <c r="E11" s="21">
        <f>C11/$C$13</f>
        <v>1.0360360360360361</v>
      </c>
      <c r="M11" t="s">
        <v>22</v>
      </c>
      <c r="N11" s="38">
        <f>N9-N5-Q7</f>
        <v>1110</v>
      </c>
      <c r="O11" s="41">
        <f>N11/$E$30</f>
        <v>8.4992343032159265</v>
      </c>
    </row>
    <row r="12" spans="1:17" x14ac:dyDescent="0.25">
      <c r="A12" s="39"/>
      <c r="C12" s="19"/>
      <c r="D12" s="20"/>
      <c r="E12" s="21"/>
    </row>
    <row r="13" spans="1:17" x14ac:dyDescent="0.25">
      <c r="A13" s="39"/>
      <c r="B13" t="s">
        <v>23</v>
      </c>
      <c r="C13" s="19">
        <f>C11-40</f>
        <v>1110</v>
      </c>
      <c r="D13" s="20">
        <f>C13/$E$30</f>
        <v>8.4992343032159265</v>
      </c>
      <c r="E13" s="21">
        <f>C13/$C$13</f>
        <v>1</v>
      </c>
    </row>
    <row r="16" spans="1:17" x14ac:dyDescent="0.25">
      <c r="A16" s="39"/>
      <c r="B16" s="1" t="s">
        <v>24</v>
      </c>
    </row>
    <row r="17" spans="2:15" x14ac:dyDescent="0.25">
      <c r="B17" s="4" t="s">
        <v>25</v>
      </c>
      <c r="E17" s="5">
        <v>0</v>
      </c>
      <c r="F17" s="5">
        <v>1</v>
      </c>
      <c r="G17" s="5">
        <v>2</v>
      </c>
      <c r="H17" s="5">
        <v>3</v>
      </c>
      <c r="I17" s="5">
        <v>4</v>
      </c>
      <c r="J17" s="5">
        <v>5</v>
      </c>
    </row>
    <row r="18" spans="2:15" x14ac:dyDescent="0.25">
      <c r="B18" t="s">
        <v>26</v>
      </c>
      <c r="E18" s="21">
        <v>0.02</v>
      </c>
      <c r="F18" s="21">
        <v>0.03</v>
      </c>
      <c r="G18" s="21">
        <v>0.04</v>
      </c>
      <c r="H18" s="21">
        <v>0.04</v>
      </c>
      <c r="I18" s="21">
        <v>0.04</v>
      </c>
      <c r="J18" s="21">
        <v>0.04</v>
      </c>
    </row>
    <row r="19" spans="2:15" x14ac:dyDescent="0.25">
      <c r="B19" t="s">
        <v>27</v>
      </c>
      <c r="E19" s="21">
        <v>0.15</v>
      </c>
      <c r="F19" s="21">
        <v>0.18</v>
      </c>
      <c r="G19" s="21">
        <v>0.2</v>
      </c>
      <c r="H19" s="21">
        <v>0.2</v>
      </c>
      <c r="I19" s="21">
        <v>0.2</v>
      </c>
      <c r="J19" s="21">
        <v>0.2</v>
      </c>
    </row>
    <row r="20" spans="2:15" x14ac:dyDescent="0.25">
      <c r="B20" t="s">
        <v>28</v>
      </c>
      <c r="E20" s="40">
        <v>0.09</v>
      </c>
      <c r="F20" s="21">
        <v>0.09</v>
      </c>
      <c r="G20" s="21">
        <v>0.09</v>
      </c>
      <c r="H20" s="21">
        <v>0.09</v>
      </c>
      <c r="I20" s="21">
        <v>0.09</v>
      </c>
      <c r="J20" s="21">
        <v>0.09</v>
      </c>
    </row>
    <row r="21" spans="2:15" x14ac:dyDescent="0.25">
      <c r="B21" t="s">
        <v>29</v>
      </c>
      <c r="E21" s="40">
        <v>2.5000000000000001E-2</v>
      </c>
      <c r="F21" s="21">
        <v>2.5000000000000001E-2</v>
      </c>
      <c r="G21" s="21">
        <v>2.5000000000000001E-2</v>
      </c>
      <c r="H21" s="21">
        <v>2.5000000000000001E-2</v>
      </c>
      <c r="I21" s="21">
        <v>2.5000000000000001E-2</v>
      </c>
      <c r="J21" s="21">
        <v>2.5000000000000001E-2</v>
      </c>
    </row>
    <row r="22" spans="2:15" x14ac:dyDescent="0.25">
      <c r="B22" t="s">
        <v>30</v>
      </c>
      <c r="E22" s="40"/>
      <c r="F22" s="21">
        <v>0.59</v>
      </c>
      <c r="G22" s="21">
        <v>0.57999999999999996</v>
      </c>
      <c r="H22" s="21">
        <v>0.57999999999999996</v>
      </c>
      <c r="I22" s="21">
        <v>0.57999999999999996</v>
      </c>
      <c r="J22" s="21">
        <v>0.57999999999999996</v>
      </c>
    </row>
    <row r="23" spans="2:15" x14ac:dyDescent="0.25">
      <c r="B23" t="s">
        <v>31</v>
      </c>
      <c r="E23" s="40"/>
      <c r="F23" s="21">
        <v>0.14000000000000001</v>
      </c>
      <c r="G23" s="21">
        <v>0.13</v>
      </c>
      <c r="H23" s="21">
        <v>0.13</v>
      </c>
      <c r="I23" s="21">
        <v>0.13</v>
      </c>
      <c r="J23" s="21">
        <v>0.13</v>
      </c>
    </row>
    <row r="24" spans="2:15" x14ac:dyDescent="0.25">
      <c r="B24" t="s">
        <v>32</v>
      </c>
      <c r="E24" s="25"/>
      <c r="F24" s="26">
        <v>1.1000000000000001</v>
      </c>
      <c r="G24" s="26">
        <v>1.5</v>
      </c>
      <c r="H24" s="26">
        <v>1.6</v>
      </c>
      <c r="I24" s="26">
        <v>1.6</v>
      </c>
      <c r="J24" s="26">
        <v>1.7</v>
      </c>
    </row>
    <row r="25" spans="2:15" x14ac:dyDescent="0.25">
      <c r="E25" s="11"/>
      <c r="F25" s="16"/>
      <c r="G25" s="16"/>
      <c r="H25" s="16"/>
      <c r="I25" s="16"/>
      <c r="J25" s="16"/>
    </row>
    <row r="26" spans="2:15" x14ac:dyDescent="0.25">
      <c r="B26" t="s">
        <v>33</v>
      </c>
      <c r="E26" s="43">
        <v>525</v>
      </c>
      <c r="F26" s="44">
        <f>E26*(1+F18)</f>
        <v>540.75</v>
      </c>
      <c r="G26" s="44">
        <f>F26*(1+G18)</f>
        <v>562.38</v>
      </c>
      <c r="H26" s="44">
        <f>G26*(1+H18)</f>
        <v>584.87520000000006</v>
      </c>
      <c r="I26" s="44">
        <f>H26*(1+I18)</f>
        <v>608.27020800000014</v>
      </c>
      <c r="J26" s="44">
        <f>I26*(1+J18)</f>
        <v>632.60101632000021</v>
      </c>
    </row>
    <row r="27" spans="2:15" x14ac:dyDescent="0.25">
      <c r="B27" t="s">
        <v>30</v>
      </c>
      <c r="E27" s="43"/>
      <c r="F27" s="45"/>
      <c r="G27" s="45"/>
      <c r="H27" s="45"/>
      <c r="I27" s="45"/>
      <c r="J27" s="45"/>
    </row>
    <row r="28" spans="2:15" x14ac:dyDescent="0.25">
      <c r="B28" t="s">
        <v>34</v>
      </c>
      <c r="E28" s="43"/>
      <c r="F28" s="44"/>
      <c r="G28" s="44"/>
      <c r="H28" s="44"/>
      <c r="I28" s="44"/>
      <c r="J28" s="44"/>
    </row>
    <row r="29" spans="2:15" x14ac:dyDescent="0.25">
      <c r="B29" t="s">
        <v>31</v>
      </c>
      <c r="E29" s="43"/>
      <c r="F29" s="45"/>
      <c r="G29" s="45"/>
      <c r="H29" s="45"/>
      <c r="I29" s="45"/>
      <c r="J29" s="45"/>
    </row>
    <row r="30" spans="2:15" x14ac:dyDescent="0.25">
      <c r="B30" t="s">
        <v>35</v>
      </c>
      <c r="E30" s="43">
        <v>130.6</v>
      </c>
      <c r="F30" s="44">
        <f>F32-F31</f>
        <v>146.0025</v>
      </c>
      <c r="G30" s="44">
        <f t="shared" ref="G30:J30" si="0">G32-G31</f>
        <v>163.09019999999998</v>
      </c>
      <c r="H30" s="44">
        <f t="shared" si="0"/>
        <v>169.61380800000003</v>
      </c>
      <c r="I30" s="44">
        <f t="shared" si="0"/>
        <v>176.39836032000005</v>
      </c>
      <c r="J30" s="44">
        <f t="shared" si="0"/>
        <v>183.45429473280007</v>
      </c>
      <c r="K30" s="6"/>
      <c r="L30" s="6"/>
      <c r="M30" s="6"/>
      <c r="N30" s="6"/>
      <c r="O30" s="6"/>
    </row>
    <row r="31" spans="2:15" x14ac:dyDescent="0.25">
      <c r="B31" t="s">
        <v>28</v>
      </c>
      <c r="E31" s="43"/>
      <c r="F31" s="45">
        <f>-F26*F20</f>
        <v>-48.667499999999997</v>
      </c>
      <c r="G31" s="45">
        <f t="shared" ref="G31:J31" si="1">-G26*G20</f>
        <v>-50.614199999999997</v>
      </c>
      <c r="H31" s="45">
        <f t="shared" si="1"/>
        <v>-52.638768000000006</v>
      </c>
      <c r="I31" s="45">
        <f t="shared" si="1"/>
        <v>-54.74431872000001</v>
      </c>
      <c r="J31" s="45">
        <f t="shared" si="1"/>
        <v>-56.93409146880002</v>
      </c>
    </row>
    <row r="32" spans="2:15" x14ac:dyDescent="0.25">
      <c r="B32" t="s">
        <v>36</v>
      </c>
      <c r="E32" s="43"/>
      <c r="F32" s="44">
        <f t="shared" ref="F32:J32" si="2">F26*F19</f>
        <v>97.334999999999994</v>
      </c>
      <c r="G32" s="44">
        <f t="shared" si="2"/>
        <v>112.476</v>
      </c>
      <c r="H32" s="44">
        <f t="shared" si="2"/>
        <v>116.97504000000002</v>
      </c>
      <c r="I32" s="44">
        <f t="shared" si="2"/>
        <v>121.65404160000003</v>
      </c>
      <c r="J32" s="44">
        <f t="shared" si="2"/>
        <v>126.52020326400005</v>
      </c>
    </row>
    <row r="33" spans="1:10" x14ac:dyDescent="0.25">
      <c r="A33" s="39"/>
      <c r="B33" t="s">
        <v>37</v>
      </c>
      <c r="E33" s="46"/>
      <c r="F33" s="47">
        <f>-MIN(F81,F82)</f>
        <v>0</v>
      </c>
      <c r="G33" s="47">
        <f t="shared" ref="G33:J33" si="3">-MIN(G81,G82)</f>
        <v>0</v>
      </c>
      <c r="H33" s="47">
        <f t="shared" si="3"/>
        <v>0</v>
      </c>
      <c r="I33" s="47">
        <f t="shared" si="3"/>
        <v>0</v>
      </c>
      <c r="J33" s="47">
        <f t="shared" si="3"/>
        <v>0</v>
      </c>
    </row>
    <row r="34" spans="1:10" x14ac:dyDescent="0.25">
      <c r="A34" s="39"/>
      <c r="B34" t="s">
        <v>38</v>
      </c>
      <c r="E34" s="46"/>
      <c r="F34" s="44">
        <f>F32+F33</f>
        <v>97.334999999999994</v>
      </c>
      <c r="G34" s="44">
        <f t="shared" ref="G34:J34" si="4">G32+G33</f>
        <v>112.476</v>
      </c>
      <c r="H34" s="44">
        <f t="shared" si="4"/>
        <v>116.97504000000002</v>
      </c>
      <c r="I34" s="44">
        <f t="shared" si="4"/>
        <v>121.65404160000003</v>
      </c>
      <c r="J34" s="44">
        <f t="shared" si="4"/>
        <v>126.52020326400005</v>
      </c>
    </row>
    <row r="35" spans="1:10" x14ac:dyDescent="0.25">
      <c r="A35" s="39"/>
      <c r="B35" t="s">
        <v>39</v>
      </c>
      <c r="C35" s="33">
        <v>0.21</v>
      </c>
      <c r="E35" s="46"/>
      <c r="F35" s="45">
        <f>-F34*$C$35</f>
        <v>-20.440349999999999</v>
      </c>
      <c r="G35" s="45">
        <f>-G34*$C$35</f>
        <v>-23.619959999999999</v>
      </c>
      <c r="H35" s="45">
        <f>-H34*$C$35</f>
        <v>-24.564758400000002</v>
      </c>
      <c r="I35" s="45">
        <f>-I34*$C$35</f>
        <v>-25.547348736000004</v>
      </c>
      <c r="J35" s="45">
        <f>-J34*$C$35</f>
        <v>-26.56924268544001</v>
      </c>
    </row>
    <row r="36" spans="1:10" x14ac:dyDescent="0.25">
      <c r="A36" s="39"/>
      <c r="B36" t="s">
        <v>40</v>
      </c>
      <c r="E36" s="46"/>
      <c r="F36" s="44">
        <f>F34+F35</f>
        <v>76.894649999999999</v>
      </c>
      <c r="G36" s="44">
        <f>G34+G35</f>
        <v>88.856040000000007</v>
      </c>
      <c r="H36" s="44">
        <f>H34+H35</f>
        <v>92.410281600000019</v>
      </c>
      <c r="I36" s="44">
        <f>I34+I35</f>
        <v>96.106692864000024</v>
      </c>
      <c r="J36" s="44">
        <f>J34+J35</f>
        <v>99.950960578560029</v>
      </c>
    </row>
    <row r="37" spans="1:10" x14ac:dyDescent="0.25">
      <c r="A37" s="39"/>
      <c r="E37" s="11"/>
    </row>
    <row r="39" spans="1:10" ht="19.5" x14ac:dyDescent="0.3">
      <c r="A39" s="39" t="s">
        <v>41</v>
      </c>
      <c r="B39" s="61" t="s">
        <v>42</v>
      </c>
      <c r="C39" s="61"/>
      <c r="D39" s="61"/>
      <c r="E39" s="61"/>
      <c r="F39" s="61"/>
      <c r="G39" s="61"/>
      <c r="H39" s="61"/>
      <c r="I39" s="61"/>
      <c r="J39" s="61"/>
    </row>
    <row r="40" spans="1:10" x14ac:dyDescent="0.25">
      <c r="A40" s="39"/>
      <c r="E40" s="5">
        <v>0</v>
      </c>
      <c r="F40" s="5">
        <v>1</v>
      </c>
      <c r="G40" s="5">
        <v>2</v>
      </c>
      <c r="H40" s="5">
        <v>3</v>
      </c>
      <c r="I40" s="5">
        <v>4</v>
      </c>
      <c r="J40" s="5">
        <v>5</v>
      </c>
    </row>
    <row r="41" spans="1:10" x14ac:dyDescent="0.25">
      <c r="A41" s="39"/>
      <c r="B41" s="34" t="s">
        <v>36</v>
      </c>
      <c r="C41" s="34"/>
      <c r="D41" s="34"/>
      <c r="E41" s="48"/>
      <c r="F41" s="48">
        <f>F32</f>
        <v>97.334999999999994</v>
      </c>
      <c r="G41" s="48">
        <f t="shared" ref="G41:J43" si="5">G32</f>
        <v>112.476</v>
      </c>
      <c r="H41" s="48">
        <f t="shared" si="5"/>
        <v>116.97504000000002</v>
      </c>
      <c r="I41" s="48">
        <f t="shared" si="5"/>
        <v>121.65404160000003</v>
      </c>
      <c r="J41" s="48">
        <f t="shared" si="5"/>
        <v>126.52020326400005</v>
      </c>
    </row>
    <row r="42" spans="1:10" x14ac:dyDescent="0.25">
      <c r="A42" s="39"/>
      <c r="B42" s="34" t="s">
        <v>37</v>
      </c>
      <c r="C42" s="34"/>
      <c r="D42" s="34"/>
      <c r="E42" s="48"/>
      <c r="F42" s="48">
        <f>F33</f>
        <v>0</v>
      </c>
      <c r="G42" s="48">
        <f t="shared" si="5"/>
        <v>0</v>
      </c>
      <c r="H42" s="48">
        <f t="shared" si="5"/>
        <v>0</v>
      </c>
      <c r="I42" s="48">
        <f t="shared" si="5"/>
        <v>0</v>
      </c>
      <c r="J42" s="48">
        <f t="shared" si="5"/>
        <v>0</v>
      </c>
    </row>
    <row r="43" spans="1:10" x14ac:dyDescent="0.25">
      <c r="A43" s="39"/>
      <c r="B43" s="34" t="s">
        <v>38</v>
      </c>
      <c r="C43" s="34"/>
      <c r="D43" s="34"/>
      <c r="E43" s="48"/>
      <c r="F43" s="48">
        <f>F34</f>
        <v>97.334999999999994</v>
      </c>
      <c r="G43" s="48">
        <f t="shared" si="5"/>
        <v>112.476</v>
      </c>
      <c r="H43" s="48">
        <f t="shared" si="5"/>
        <v>116.97504000000002</v>
      </c>
      <c r="I43" s="48">
        <f t="shared" si="5"/>
        <v>121.65404160000003</v>
      </c>
      <c r="J43" s="48">
        <f t="shared" si="5"/>
        <v>126.52020326400005</v>
      </c>
    </row>
    <row r="44" spans="1:10" x14ac:dyDescent="0.25">
      <c r="A44" s="39"/>
      <c r="B44" s="34" t="s">
        <v>39</v>
      </c>
      <c r="C44" s="35">
        <v>0.21</v>
      </c>
      <c r="D44" s="34"/>
      <c r="E44" s="48"/>
      <c r="F44" s="49">
        <f t="shared" ref="F44:J45" si="6">F35</f>
        <v>-20.440349999999999</v>
      </c>
      <c r="G44" s="49">
        <f t="shared" si="6"/>
        <v>-23.619959999999999</v>
      </c>
      <c r="H44" s="49">
        <f t="shared" si="6"/>
        <v>-24.564758400000002</v>
      </c>
      <c r="I44" s="49">
        <f t="shared" si="6"/>
        <v>-25.547348736000004</v>
      </c>
      <c r="J44" s="49">
        <f t="shared" si="6"/>
        <v>-26.56924268544001</v>
      </c>
    </row>
    <row r="45" spans="1:10" x14ac:dyDescent="0.25">
      <c r="A45" s="39"/>
      <c r="B45" s="34" t="s">
        <v>40</v>
      </c>
      <c r="C45" s="34"/>
      <c r="D45" s="34"/>
      <c r="E45" s="48"/>
      <c r="F45" s="48">
        <f t="shared" si="6"/>
        <v>76.894649999999999</v>
      </c>
      <c r="G45" s="48">
        <f t="shared" si="6"/>
        <v>88.856040000000007</v>
      </c>
      <c r="H45" s="48">
        <f t="shared" si="6"/>
        <v>92.410281600000019</v>
      </c>
      <c r="I45" s="48">
        <f t="shared" si="6"/>
        <v>96.106692864000024</v>
      </c>
      <c r="J45" s="48">
        <f t="shared" si="6"/>
        <v>99.950960578560029</v>
      </c>
    </row>
    <row r="46" spans="1:10" x14ac:dyDescent="0.25">
      <c r="A46" s="39"/>
      <c r="E46" s="44"/>
      <c r="F46" s="44"/>
      <c r="G46" s="44"/>
      <c r="H46" s="44"/>
      <c r="I46" s="44"/>
      <c r="J46" s="44"/>
    </row>
    <row r="47" spans="1:10" x14ac:dyDescent="0.25">
      <c r="A47" s="39"/>
      <c r="B47" s="12" t="s">
        <v>40</v>
      </c>
      <c r="C47" s="13"/>
      <c r="D47" s="13"/>
      <c r="E47" s="50"/>
      <c r="F47" s="50">
        <f>F45</f>
        <v>76.894649999999999</v>
      </c>
      <c r="G47" s="50">
        <f t="shared" ref="G47:J47" si="7">G45</f>
        <v>88.856040000000007</v>
      </c>
      <c r="H47" s="50">
        <f t="shared" si="7"/>
        <v>92.410281600000019</v>
      </c>
      <c r="I47" s="50">
        <f t="shared" si="7"/>
        <v>96.106692864000024</v>
      </c>
      <c r="J47" s="51">
        <f t="shared" si="7"/>
        <v>99.950960578560029</v>
      </c>
    </row>
    <row r="48" spans="1:10" x14ac:dyDescent="0.25">
      <c r="A48" s="39"/>
      <c r="B48" s="15" t="s">
        <v>43</v>
      </c>
      <c r="C48" s="11"/>
      <c r="D48" s="11"/>
      <c r="E48" s="46"/>
      <c r="F48" s="46">
        <f>-F31</f>
        <v>48.667499999999997</v>
      </c>
      <c r="G48" s="46">
        <f t="shared" ref="G48:J48" si="8">-G31</f>
        <v>50.614199999999997</v>
      </c>
      <c r="H48" s="46">
        <f t="shared" si="8"/>
        <v>52.638768000000006</v>
      </c>
      <c r="I48" s="46">
        <f t="shared" si="8"/>
        <v>54.74431872000001</v>
      </c>
      <c r="J48" s="52">
        <f t="shared" si="8"/>
        <v>56.93409146880002</v>
      </c>
    </row>
    <row r="49" spans="1:12" x14ac:dyDescent="0.25">
      <c r="A49" s="39"/>
      <c r="B49" s="15" t="s">
        <v>44</v>
      </c>
      <c r="C49" s="11"/>
      <c r="D49" s="11"/>
      <c r="E49" s="46"/>
      <c r="F49" s="46">
        <f>-F26*F21</f>
        <v>-13.518750000000001</v>
      </c>
      <c r="G49" s="46">
        <f t="shared" ref="G49:J49" si="9">-G26*G21</f>
        <v>-14.0595</v>
      </c>
      <c r="H49" s="46">
        <f t="shared" si="9"/>
        <v>-14.621880000000003</v>
      </c>
      <c r="I49" s="46">
        <f t="shared" si="9"/>
        <v>-15.206755200000003</v>
      </c>
      <c r="J49" s="52">
        <f t="shared" si="9"/>
        <v>-15.815025408000006</v>
      </c>
    </row>
    <row r="50" spans="1:12" x14ac:dyDescent="0.25">
      <c r="A50" s="39"/>
      <c r="B50" s="15" t="s">
        <v>45</v>
      </c>
      <c r="C50" s="11"/>
      <c r="D50" s="11"/>
      <c r="E50" s="46"/>
      <c r="F50" s="46">
        <f>-F24</f>
        <v>-1.1000000000000001</v>
      </c>
      <c r="G50" s="46">
        <f t="shared" ref="G50:J50" si="10">-G24</f>
        <v>-1.5</v>
      </c>
      <c r="H50" s="46">
        <f t="shared" si="10"/>
        <v>-1.6</v>
      </c>
      <c r="I50" s="46">
        <f t="shared" si="10"/>
        <v>-1.6</v>
      </c>
      <c r="J50" s="52">
        <f t="shared" si="10"/>
        <v>-1.7</v>
      </c>
    </row>
    <row r="51" spans="1:12" x14ac:dyDescent="0.25">
      <c r="A51" s="39"/>
      <c r="B51" s="14" t="s">
        <v>46</v>
      </c>
      <c r="C51" s="10"/>
      <c r="D51" s="10"/>
      <c r="E51" s="45"/>
      <c r="F51" s="53">
        <f>F47+F48+F49+F50</f>
        <v>110.94340000000001</v>
      </c>
      <c r="G51" s="53">
        <f t="shared" ref="G51:J51" si="11">G47+G48+G49+G50</f>
        <v>123.91073999999999</v>
      </c>
      <c r="H51" s="53">
        <f t="shared" si="11"/>
        <v>128.82716960000002</v>
      </c>
      <c r="I51" s="53">
        <f t="shared" si="11"/>
        <v>134.04425638400005</v>
      </c>
      <c r="J51" s="54">
        <f t="shared" si="11"/>
        <v>139.37002663936005</v>
      </c>
    </row>
    <row r="52" spans="1:12" x14ac:dyDescent="0.25">
      <c r="A52" s="39"/>
      <c r="E52" s="44"/>
      <c r="F52" s="44"/>
      <c r="G52" s="44"/>
      <c r="H52" s="44"/>
      <c r="I52" s="44"/>
      <c r="J52" s="44"/>
    </row>
    <row r="53" spans="1:12" x14ac:dyDescent="0.25">
      <c r="A53" s="39"/>
      <c r="B53" s="11" t="s">
        <v>47</v>
      </c>
      <c r="E53" s="44"/>
      <c r="F53" s="44">
        <f>F41*(1-$C$44)</f>
        <v>76.894649999999999</v>
      </c>
      <c r="G53" s="44">
        <f t="shared" ref="G53:J53" si="12">G41*(1-$C$44)</f>
        <v>88.856040000000007</v>
      </c>
      <c r="H53" s="44">
        <f t="shared" si="12"/>
        <v>92.410281600000019</v>
      </c>
      <c r="I53" s="44">
        <f t="shared" si="12"/>
        <v>96.106692864000024</v>
      </c>
      <c r="J53" s="44">
        <f t="shared" si="12"/>
        <v>99.950960578560043</v>
      </c>
    </row>
    <row r="54" spans="1:12" x14ac:dyDescent="0.25">
      <c r="A54" s="39"/>
      <c r="B54" s="17" t="s">
        <v>43</v>
      </c>
      <c r="E54" s="44"/>
      <c r="F54" s="44">
        <f>F48</f>
        <v>48.667499999999997</v>
      </c>
      <c r="G54" s="44">
        <f t="shared" ref="G54:J54" si="13">G48</f>
        <v>50.614199999999997</v>
      </c>
      <c r="H54" s="44">
        <f t="shared" si="13"/>
        <v>52.638768000000006</v>
      </c>
      <c r="I54" s="44">
        <f t="shared" si="13"/>
        <v>54.74431872000001</v>
      </c>
      <c r="J54" s="44">
        <f t="shared" si="13"/>
        <v>56.93409146880002</v>
      </c>
    </row>
    <row r="55" spans="1:12" x14ac:dyDescent="0.25">
      <c r="A55" s="39"/>
      <c r="B55" s="17" t="s">
        <v>44</v>
      </c>
      <c r="E55" s="44"/>
      <c r="F55" s="44">
        <f t="shared" ref="F55:J56" si="14">F49</f>
        <v>-13.518750000000001</v>
      </c>
      <c r="G55" s="44">
        <f t="shared" si="14"/>
        <v>-14.0595</v>
      </c>
      <c r="H55" s="44">
        <f t="shared" si="14"/>
        <v>-14.621880000000003</v>
      </c>
      <c r="I55" s="44">
        <f t="shared" si="14"/>
        <v>-15.206755200000003</v>
      </c>
      <c r="J55" s="44">
        <f t="shared" si="14"/>
        <v>-15.815025408000006</v>
      </c>
    </row>
    <row r="56" spans="1:12" x14ac:dyDescent="0.25">
      <c r="A56" s="39"/>
      <c r="B56" s="18" t="s">
        <v>45</v>
      </c>
      <c r="E56" s="44"/>
      <c r="F56" s="44">
        <f t="shared" si="14"/>
        <v>-1.1000000000000001</v>
      </c>
      <c r="G56" s="44">
        <f t="shared" si="14"/>
        <v>-1.5</v>
      </c>
      <c r="H56" s="44">
        <f t="shared" si="14"/>
        <v>-1.6</v>
      </c>
      <c r="I56" s="44">
        <f t="shared" si="14"/>
        <v>-1.6</v>
      </c>
      <c r="J56" s="44">
        <f t="shared" si="14"/>
        <v>-1.7</v>
      </c>
    </row>
    <row r="57" spans="1:12" x14ac:dyDescent="0.25">
      <c r="A57" s="39"/>
      <c r="B57" s="12" t="s">
        <v>48</v>
      </c>
      <c r="C57" s="13"/>
      <c r="D57" s="13"/>
      <c r="E57" s="50"/>
      <c r="F57" s="50">
        <f>F53+F54+F55+F56</f>
        <v>110.94340000000001</v>
      </c>
      <c r="G57" s="50">
        <f t="shared" ref="G57:J57" si="15">G53+G54+G55+G56</f>
        <v>123.91073999999999</v>
      </c>
      <c r="H57" s="50">
        <f t="shared" si="15"/>
        <v>128.82716960000002</v>
      </c>
      <c r="I57" s="50">
        <f t="shared" si="15"/>
        <v>134.04425638400005</v>
      </c>
      <c r="J57" s="51">
        <f t="shared" si="15"/>
        <v>139.37002663936008</v>
      </c>
    </row>
    <row r="58" spans="1:12" x14ac:dyDescent="0.25">
      <c r="A58" s="39"/>
      <c r="B58" s="15" t="s">
        <v>49</v>
      </c>
      <c r="C58" s="11"/>
      <c r="D58" s="11"/>
      <c r="E58" s="46"/>
      <c r="F58" s="46">
        <f>F42*(1-$C$44)</f>
        <v>0</v>
      </c>
      <c r="G58" s="46">
        <f t="shared" ref="G58:J58" si="16">G42*(1-$C$44)</f>
        <v>0</v>
      </c>
      <c r="H58" s="46">
        <f t="shared" si="16"/>
        <v>0</v>
      </c>
      <c r="I58" s="46">
        <f t="shared" si="16"/>
        <v>0</v>
      </c>
      <c r="J58" s="52">
        <f t="shared" si="16"/>
        <v>0</v>
      </c>
      <c r="L58" s="3"/>
    </row>
    <row r="59" spans="1:12" x14ac:dyDescent="0.25">
      <c r="A59" s="39"/>
      <c r="B59" s="14" t="s">
        <v>46</v>
      </c>
      <c r="C59" s="10"/>
      <c r="D59" s="10"/>
      <c r="E59" s="45"/>
      <c r="F59" s="53">
        <f>F57+F58</f>
        <v>110.94340000000001</v>
      </c>
      <c r="G59" s="53">
        <f t="shared" ref="G59:J59" si="17">G57+G58</f>
        <v>123.91073999999999</v>
      </c>
      <c r="H59" s="53">
        <f t="shared" si="17"/>
        <v>128.82716960000002</v>
      </c>
      <c r="I59" s="53">
        <f t="shared" si="17"/>
        <v>134.04425638400005</v>
      </c>
      <c r="J59" s="54">
        <f t="shared" si="17"/>
        <v>139.37002663936008</v>
      </c>
    </row>
    <row r="62" spans="1:12" ht="19.5" x14ac:dyDescent="0.3">
      <c r="A62" s="39" t="s">
        <v>50</v>
      </c>
      <c r="B62" s="61" t="s">
        <v>51</v>
      </c>
      <c r="C62" s="61"/>
      <c r="D62" s="61"/>
      <c r="E62" s="61"/>
      <c r="F62" s="61"/>
      <c r="G62" s="61"/>
      <c r="H62" s="61"/>
      <c r="I62" s="61"/>
      <c r="J62" s="61"/>
    </row>
    <row r="63" spans="1:12" x14ac:dyDescent="0.25">
      <c r="A63" s="39"/>
      <c r="E63" s="5">
        <v>0</v>
      </c>
      <c r="F63" s="5">
        <v>1</v>
      </c>
      <c r="G63" s="5">
        <v>2</v>
      </c>
      <c r="H63" s="5">
        <v>3</v>
      </c>
      <c r="I63" s="5">
        <v>4</v>
      </c>
      <c r="J63" s="5">
        <v>5</v>
      </c>
    </row>
    <row r="64" spans="1:12" x14ac:dyDescent="0.25">
      <c r="A64" s="39"/>
      <c r="B64" t="s">
        <v>52</v>
      </c>
      <c r="E64" s="44"/>
      <c r="F64" s="55">
        <v>10</v>
      </c>
      <c r="G64" s="55">
        <v>10</v>
      </c>
      <c r="H64" s="55">
        <v>10</v>
      </c>
      <c r="I64" s="55">
        <v>10</v>
      </c>
      <c r="J64" s="55">
        <v>10</v>
      </c>
    </row>
    <row r="65" spans="2:10" x14ac:dyDescent="0.25">
      <c r="E65" s="44"/>
      <c r="F65" s="44"/>
      <c r="G65" s="44"/>
      <c r="H65" s="44"/>
      <c r="I65" s="44"/>
      <c r="J65" s="44"/>
    </row>
    <row r="66" spans="2:10" x14ac:dyDescent="0.25">
      <c r="B66" t="s">
        <v>53</v>
      </c>
      <c r="C66" s="27">
        <v>0.02</v>
      </c>
      <c r="E66" s="44"/>
      <c r="F66" s="44"/>
      <c r="G66" s="44"/>
      <c r="H66" s="44"/>
      <c r="I66" s="44"/>
      <c r="J66" s="44"/>
    </row>
    <row r="67" spans="2:10" x14ac:dyDescent="0.25">
      <c r="B67" t="s">
        <v>54</v>
      </c>
      <c r="E67" s="44"/>
      <c r="F67" s="44">
        <v>0</v>
      </c>
      <c r="G67" s="44">
        <f>F70</f>
        <v>0</v>
      </c>
      <c r="H67" s="44">
        <f t="shared" ref="H67:J67" si="18">G70</f>
        <v>0</v>
      </c>
      <c r="I67" s="44">
        <f t="shared" si="18"/>
        <v>0</v>
      </c>
      <c r="J67" s="44">
        <f t="shared" si="18"/>
        <v>0</v>
      </c>
    </row>
    <row r="68" spans="2:10" x14ac:dyDescent="0.25">
      <c r="B68" s="17" t="s">
        <v>55</v>
      </c>
      <c r="E68" s="44"/>
      <c r="F68" s="44">
        <f>-IF(F51-F64&gt;25,25,F51-F64)</f>
        <v>-25</v>
      </c>
      <c r="G68" s="44">
        <f>-IF(G51&gt;25,25,G51)</f>
        <v>-25</v>
      </c>
      <c r="H68" s="44">
        <f>-IF(H51&gt;25,25,H51)</f>
        <v>-25</v>
      </c>
      <c r="I68" s="44">
        <f>-IF(I51&gt;25,25,I51)</f>
        <v>-25</v>
      </c>
      <c r="J68" s="44">
        <f>-IF(J51&gt;25,25,J51)</f>
        <v>-25</v>
      </c>
    </row>
    <row r="69" spans="2:10" x14ac:dyDescent="0.25">
      <c r="B69" s="17" t="s">
        <v>56</v>
      </c>
      <c r="E69" s="44"/>
      <c r="F69" s="44">
        <f>-MIN(F51-F64+F68,F67+F68)</f>
        <v>25</v>
      </c>
      <c r="G69" s="44">
        <f>-MIN(G51+G68,G67+G68)</f>
        <v>25</v>
      </c>
      <c r="H69" s="44">
        <f>-MIN(H51+H68,H67+H68)</f>
        <v>25</v>
      </c>
      <c r="I69" s="44">
        <f>-MIN(I51+I68,I67+I68)</f>
        <v>25</v>
      </c>
      <c r="J69" s="44">
        <f>-MIN(J51+J68,J67+J68)</f>
        <v>25</v>
      </c>
    </row>
    <row r="70" spans="2:10" x14ac:dyDescent="0.25">
      <c r="B70" t="s">
        <v>57</v>
      </c>
      <c r="E70" s="44"/>
      <c r="F70" s="44">
        <f>F67+F68+F69</f>
        <v>0</v>
      </c>
      <c r="G70" s="44">
        <f t="shared" ref="G70:J70" si="19">G67+G68+G69</f>
        <v>0</v>
      </c>
      <c r="H70" s="44">
        <f t="shared" si="19"/>
        <v>0</v>
      </c>
      <c r="I70" s="44">
        <f t="shared" si="19"/>
        <v>0</v>
      </c>
      <c r="J70" s="44">
        <f t="shared" si="19"/>
        <v>0</v>
      </c>
    </row>
    <row r="71" spans="2:10" x14ac:dyDescent="0.25">
      <c r="E71" s="44"/>
      <c r="F71" s="44"/>
      <c r="G71" s="44"/>
      <c r="H71" s="44"/>
      <c r="I71" s="44"/>
      <c r="J71" s="44"/>
    </row>
    <row r="72" spans="2:10" x14ac:dyDescent="0.25">
      <c r="B72" s="1" t="s">
        <v>58</v>
      </c>
      <c r="C72" t="s">
        <v>59</v>
      </c>
      <c r="D72" s="27">
        <v>0.04</v>
      </c>
      <c r="E72" s="44"/>
      <c r="F72" s="56">
        <f>F67*($C$66+$D$72)</f>
        <v>0</v>
      </c>
      <c r="G72" s="56">
        <f t="shared" ref="G72:J72" si="20">G67*($C$66+$D$72)</f>
        <v>0</v>
      </c>
      <c r="H72" s="56">
        <f t="shared" si="20"/>
        <v>0</v>
      </c>
      <c r="I72" s="56">
        <f t="shared" si="20"/>
        <v>0</v>
      </c>
      <c r="J72" s="56">
        <f t="shared" si="20"/>
        <v>0</v>
      </c>
    </row>
    <row r="73" spans="2:10" x14ac:dyDescent="0.25">
      <c r="E73" s="44"/>
      <c r="F73" s="44"/>
      <c r="G73" s="44"/>
      <c r="H73" s="44"/>
      <c r="I73" s="44"/>
      <c r="J73" s="44"/>
    </row>
    <row r="74" spans="2:10" x14ac:dyDescent="0.25">
      <c r="B74" t="s">
        <v>60</v>
      </c>
      <c r="E74" s="44"/>
      <c r="F74" s="44">
        <v>0</v>
      </c>
      <c r="G74" s="44">
        <f>F74</f>
        <v>0</v>
      </c>
      <c r="H74" s="44">
        <f t="shared" ref="H74:J74" si="21">G74</f>
        <v>0</v>
      </c>
      <c r="I74" s="44">
        <f t="shared" si="21"/>
        <v>0</v>
      </c>
      <c r="J74" s="44">
        <f t="shared" si="21"/>
        <v>0</v>
      </c>
    </row>
    <row r="75" spans="2:10" x14ac:dyDescent="0.25">
      <c r="B75" t="s">
        <v>61</v>
      </c>
      <c r="E75" s="44"/>
      <c r="F75" s="45"/>
      <c r="G75" s="45"/>
      <c r="H75" s="45"/>
      <c r="I75" s="45"/>
      <c r="J75" s="45"/>
    </row>
    <row r="76" spans="2:10" x14ac:dyDescent="0.25">
      <c r="B76" t="s">
        <v>57</v>
      </c>
      <c r="E76" s="44"/>
      <c r="F76" s="44">
        <f>F74-F75</f>
        <v>0</v>
      </c>
      <c r="G76" s="44">
        <f t="shared" ref="G76:J76" si="22">G74-G75</f>
        <v>0</v>
      </c>
      <c r="H76" s="44">
        <f t="shared" si="22"/>
        <v>0</v>
      </c>
      <c r="I76" s="44">
        <f t="shared" si="22"/>
        <v>0</v>
      </c>
      <c r="J76" s="44">
        <f t="shared" si="22"/>
        <v>0</v>
      </c>
    </row>
    <row r="77" spans="2:10" x14ac:dyDescent="0.25">
      <c r="E77" s="44"/>
      <c r="F77" s="44"/>
      <c r="G77" s="44"/>
      <c r="H77" s="44"/>
      <c r="I77" s="44"/>
      <c r="J77" s="44"/>
    </row>
    <row r="78" spans="2:10" x14ac:dyDescent="0.25">
      <c r="B78" s="1" t="s">
        <v>62</v>
      </c>
      <c r="C78" s="27">
        <v>0.09</v>
      </c>
      <c r="E78" s="44"/>
      <c r="F78" s="56">
        <f>F74*$C$78</f>
        <v>0</v>
      </c>
      <c r="G78" s="56">
        <f t="shared" ref="G78:J78" si="23">G74*$C$78</f>
        <v>0</v>
      </c>
      <c r="H78" s="56">
        <f t="shared" si="23"/>
        <v>0</v>
      </c>
      <c r="I78" s="56">
        <f t="shared" si="23"/>
        <v>0</v>
      </c>
      <c r="J78" s="56">
        <f t="shared" si="23"/>
        <v>0</v>
      </c>
    </row>
    <row r="79" spans="2:10" x14ac:dyDescent="0.25">
      <c r="E79" s="44"/>
      <c r="F79" s="44"/>
      <c r="G79" s="44"/>
      <c r="H79" s="44"/>
      <c r="I79" s="44"/>
      <c r="J79" s="44"/>
    </row>
    <row r="80" spans="2:10" x14ac:dyDescent="0.25">
      <c r="B80" s="1" t="s">
        <v>63</v>
      </c>
      <c r="E80" s="44"/>
      <c r="F80" s="56">
        <f>F72+F78</f>
        <v>0</v>
      </c>
      <c r="G80" s="56">
        <f t="shared" ref="G80:J80" si="24">G72+G78</f>
        <v>0</v>
      </c>
      <c r="H80" s="56">
        <f t="shared" si="24"/>
        <v>0</v>
      </c>
      <c r="I80" s="56">
        <f t="shared" si="24"/>
        <v>0</v>
      </c>
      <c r="J80" s="56">
        <f t="shared" si="24"/>
        <v>0</v>
      </c>
    </row>
    <row r="81" spans="1:10" x14ac:dyDescent="0.25">
      <c r="A81" s="39"/>
      <c r="B81" t="s">
        <v>37</v>
      </c>
      <c r="E81" s="44"/>
      <c r="F81" s="44">
        <f>F80-$C$66*E64</f>
        <v>0</v>
      </c>
      <c r="G81" s="44">
        <f>MAX(G80-$C$66*F64,0)</f>
        <v>0</v>
      </c>
      <c r="H81" s="44">
        <f>MAX(H80-$C$66*G64,0)</f>
        <v>0</v>
      </c>
      <c r="I81" s="44">
        <f>MAX(I80-$C$66*H64,0)</f>
        <v>0</v>
      </c>
      <c r="J81" s="44">
        <f>MAX(J80-$C$66*I64,0)</f>
        <v>0</v>
      </c>
    </row>
    <row r="82" spans="1:10" x14ac:dyDescent="0.25">
      <c r="A82" s="39"/>
      <c r="B82" t="s">
        <v>64</v>
      </c>
      <c r="C82" s="27">
        <v>0.3</v>
      </c>
      <c r="E82" s="44"/>
      <c r="F82" s="44">
        <f>F30*$C$82</f>
        <v>43.800750000000001</v>
      </c>
      <c r="G82" s="44">
        <f t="shared" ref="G82:J82" si="25">G30*$C$82</f>
        <v>48.92705999999999</v>
      </c>
      <c r="H82" s="44">
        <f t="shared" si="25"/>
        <v>50.884142400000009</v>
      </c>
      <c r="I82" s="44">
        <f t="shared" si="25"/>
        <v>52.919508096000015</v>
      </c>
      <c r="J82" s="44">
        <f t="shared" si="25"/>
        <v>55.03628841984002</v>
      </c>
    </row>
    <row r="83" spans="1:10" x14ac:dyDescent="0.25">
      <c r="A83" s="39"/>
      <c r="E83" s="44"/>
      <c r="F83" s="44"/>
      <c r="G83" s="44"/>
      <c r="H83" s="44"/>
      <c r="I83" s="44"/>
      <c r="J83" s="44"/>
    </row>
    <row r="84" spans="1:10" x14ac:dyDescent="0.25">
      <c r="A84" s="39"/>
      <c r="B84" s="1" t="s">
        <v>65</v>
      </c>
      <c r="E84" s="44"/>
      <c r="F84" s="44"/>
      <c r="G84" s="44"/>
      <c r="H84" s="44"/>
      <c r="I84" s="44"/>
      <c r="J84" s="44"/>
    </row>
    <row r="85" spans="1:10" x14ac:dyDescent="0.25">
      <c r="A85" s="39"/>
      <c r="B85" t="s">
        <v>16</v>
      </c>
      <c r="E85" s="44">
        <f>F67+F74</f>
        <v>0</v>
      </c>
      <c r="F85" s="44">
        <f>F70+F76</f>
        <v>0</v>
      </c>
      <c r="G85" s="44">
        <f>G70+G76</f>
        <v>0</v>
      </c>
      <c r="H85" s="44">
        <f>H70+H76</f>
        <v>0</v>
      </c>
      <c r="I85" s="44">
        <f>I70+I76</f>
        <v>0</v>
      </c>
      <c r="J85" s="44">
        <f>J70+J76</f>
        <v>0</v>
      </c>
    </row>
    <row r="86" spans="1:10" x14ac:dyDescent="0.25">
      <c r="A86" s="39"/>
      <c r="B86" t="s">
        <v>66</v>
      </c>
      <c r="F86" s="7">
        <f>F85/F30</f>
        <v>0</v>
      </c>
      <c r="G86" s="7">
        <f t="shared" ref="G86:J86" si="26">G85/G30</f>
        <v>0</v>
      </c>
      <c r="H86" s="7">
        <f t="shared" si="26"/>
        <v>0</v>
      </c>
      <c r="I86" s="7">
        <f t="shared" si="26"/>
        <v>0</v>
      </c>
      <c r="J86" s="7">
        <f t="shared" si="26"/>
        <v>0</v>
      </c>
    </row>
    <row r="87" spans="1:10" x14ac:dyDescent="0.25">
      <c r="A87" s="39"/>
      <c r="B87" t="s">
        <v>67</v>
      </c>
      <c r="F87" s="7" t="e">
        <f>F30/F80</f>
        <v>#DIV/0!</v>
      </c>
      <c r="G87" s="7" t="e">
        <f t="shared" ref="G87:J87" si="27">G30/G80</f>
        <v>#DIV/0!</v>
      </c>
      <c r="H87" s="7" t="e">
        <f t="shared" si="27"/>
        <v>#DIV/0!</v>
      </c>
      <c r="I87" s="7" t="e">
        <f t="shared" si="27"/>
        <v>#DIV/0!</v>
      </c>
      <c r="J87" s="7" t="e">
        <f t="shared" si="27"/>
        <v>#DIV/0!</v>
      </c>
    </row>
    <row r="88" spans="1:10" x14ac:dyDescent="0.25">
      <c r="A88" s="39"/>
      <c r="B88" t="s">
        <v>68</v>
      </c>
      <c r="F88" s="7" t="e">
        <f>(F30+F49)/F80</f>
        <v>#DIV/0!</v>
      </c>
      <c r="G88" s="7" t="e">
        <f t="shared" ref="G88:J88" si="28">(G30+G49)/G80</f>
        <v>#DIV/0!</v>
      </c>
      <c r="H88" s="7" t="e">
        <f t="shared" si="28"/>
        <v>#DIV/0!</v>
      </c>
      <c r="I88" s="7" t="e">
        <f t="shared" si="28"/>
        <v>#DIV/0!</v>
      </c>
      <c r="J88" s="7" t="e">
        <f t="shared" si="28"/>
        <v>#DIV/0!</v>
      </c>
    </row>
    <row r="91" spans="1:10" ht="19.5" x14ac:dyDescent="0.3">
      <c r="A91" s="39" t="s">
        <v>69</v>
      </c>
      <c r="B91" s="61" t="s">
        <v>70</v>
      </c>
      <c r="C91" s="61"/>
      <c r="D91" s="61"/>
      <c r="E91" s="61"/>
      <c r="F91" s="61"/>
      <c r="G91" s="61"/>
      <c r="H91" s="61"/>
      <c r="I91" s="61"/>
      <c r="J91" s="61"/>
    </row>
    <row r="92" spans="1:10" x14ac:dyDescent="0.25">
      <c r="A92" s="39"/>
      <c r="E92" s="5">
        <v>0</v>
      </c>
      <c r="F92" s="5">
        <v>1</v>
      </c>
      <c r="G92" s="5">
        <v>2</v>
      </c>
      <c r="H92" s="5">
        <v>3</v>
      </c>
      <c r="I92" s="5">
        <v>4</v>
      </c>
      <c r="J92" s="5">
        <v>5</v>
      </c>
    </row>
    <row r="93" spans="1:10" x14ac:dyDescent="0.25">
      <c r="A93" s="39"/>
      <c r="B93" t="s">
        <v>35</v>
      </c>
      <c r="J93" s="44">
        <f>J30</f>
        <v>183.45429473280007</v>
      </c>
    </row>
    <row r="94" spans="1:10" x14ac:dyDescent="0.25">
      <c r="A94" s="39"/>
      <c r="B94" t="s">
        <v>71</v>
      </c>
      <c r="J94" s="20">
        <f>D13</f>
        <v>8.4992343032159265</v>
      </c>
    </row>
    <row r="95" spans="1:10" x14ac:dyDescent="0.25">
      <c r="A95" s="39"/>
      <c r="B95" t="s">
        <v>72</v>
      </c>
      <c r="J95" s="44">
        <f>J93*J94</f>
        <v>1559.2210348652991</v>
      </c>
    </row>
    <row r="96" spans="1:10" x14ac:dyDescent="0.25">
      <c r="A96" s="39"/>
      <c r="B96" s="17" t="s">
        <v>73</v>
      </c>
      <c r="J96" s="44">
        <f>J64</f>
        <v>10</v>
      </c>
    </row>
    <row r="97" spans="2:10" x14ac:dyDescent="0.25">
      <c r="B97" s="17" t="s">
        <v>74</v>
      </c>
      <c r="J97" s="44">
        <f>-J85</f>
        <v>0</v>
      </c>
    </row>
    <row r="98" spans="2:10" x14ac:dyDescent="0.25">
      <c r="B98" t="s">
        <v>75</v>
      </c>
      <c r="J98" s="44">
        <f>J95+J96+J97</f>
        <v>1569.2210348652991</v>
      </c>
    </row>
    <row r="99" spans="2:10" x14ac:dyDescent="0.25">
      <c r="J99" s="44"/>
    </row>
    <row r="100" spans="2:10" x14ac:dyDescent="0.25">
      <c r="B100" t="s">
        <v>76</v>
      </c>
      <c r="E100" s="58">
        <f>-C11</f>
        <v>-1150</v>
      </c>
      <c r="F100" s="28">
        <v>0</v>
      </c>
      <c r="G100" s="28">
        <v>0</v>
      </c>
      <c r="H100" s="28">
        <v>0</v>
      </c>
      <c r="I100" s="28">
        <v>0</v>
      </c>
      <c r="J100" s="57">
        <f>J98</f>
        <v>1569.2210348652991</v>
      </c>
    </row>
    <row r="102" spans="2:10" x14ac:dyDescent="0.25">
      <c r="B102" s="12" t="s">
        <v>77</v>
      </c>
      <c r="C102" s="29">
        <f>IRR(E100:J100)</f>
        <v>6.413629502570517E-2</v>
      </c>
    </row>
    <row r="103" spans="2:10" x14ac:dyDescent="0.25">
      <c r="B103" s="30" t="s">
        <v>78</v>
      </c>
      <c r="C103" s="31">
        <f>J100/-E100</f>
        <v>1.3645400303176514</v>
      </c>
    </row>
    <row r="104" spans="2:10" x14ac:dyDescent="0.25">
      <c r="E104" s="62" t="s">
        <v>79</v>
      </c>
      <c r="F104" s="62"/>
      <c r="G104" s="62"/>
      <c r="H104" s="62"/>
      <c r="I104" s="62"/>
      <c r="J104" s="62"/>
    </row>
    <row r="105" spans="2:10" x14ac:dyDescent="0.25">
      <c r="E105" s="39" t="s">
        <v>80</v>
      </c>
      <c r="F105" s="59" t="s">
        <v>81</v>
      </c>
      <c r="G105" s="59"/>
      <c r="H105" s="59"/>
      <c r="I105" s="59"/>
      <c r="J105" s="59"/>
    </row>
    <row r="106" spans="2:10" x14ac:dyDescent="0.25">
      <c r="E106" s="42">
        <f>C102</f>
        <v>6.413629502570517E-2</v>
      </c>
      <c r="F106" s="32">
        <v>7.5</v>
      </c>
      <c r="G106" s="32">
        <v>8</v>
      </c>
      <c r="H106" s="32">
        <v>8.5</v>
      </c>
      <c r="I106" s="32">
        <v>9</v>
      </c>
      <c r="J106" s="32">
        <v>9.5</v>
      </c>
    </row>
    <row r="107" spans="2:10" x14ac:dyDescent="0.25">
      <c r="E107" s="52">
        <v>146.80000000000001</v>
      </c>
      <c r="F107" s="8">
        <f t="dataTable" ref="F107:J111" dt2D="1" dtr="1" r1="J93" r2="J94" ca="1"/>
        <v>-6.8765340317018531E-3</v>
      </c>
      <c r="G107" s="8">
        <v>5.9122839405909566E-3</v>
      </c>
      <c r="H107" s="8">
        <v>1.8081978791156583E-2</v>
      </c>
      <c r="I107" s="8">
        <v>2.9696161351987493E-2</v>
      </c>
      <c r="J107" s="8">
        <v>4.0808822126372934E-2</v>
      </c>
    </row>
    <row r="108" spans="2:10" x14ac:dyDescent="0.25">
      <c r="E108" s="52">
        <v>165.2</v>
      </c>
      <c r="F108" s="8">
        <v>1.6653405152313061E-2</v>
      </c>
      <c r="G108" s="8">
        <v>2.9758034694622904E-2</v>
      </c>
      <c r="H108" s="8">
        <v>4.2227668765631554E-2</v>
      </c>
      <c r="I108" s="8">
        <v>5.4127605597678707E-2</v>
      </c>
      <c r="J108" s="8">
        <v>6.551325978750655E-2</v>
      </c>
    </row>
    <row r="109" spans="2:10" x14ac:dyDescent="0.25">
      <c r="D109" t="s">
        <v>35</v>
      </c>
      <c r="E109" s="52">
        <v>183.5</v>
      </c>
      <c r="F109" s="8">
        <v>3.8075028021048229E-2</v>
      </c>
      <c r="G109" s="8">
        <v>5.1466205195944692E-2</v>
      </c>
      <c r="H109" s="8">
        <v>6.4208026809058127E-2</v>
      </c>
      <c r="I109" s="8">
        <v>7.6367313896663624E-2</v>
      </c>
      <c r="J109" s="8">
        <v>8.8000766798896013E-2</v>
      </c>
    </row>
    <row r="110" spans="2:10" x14ac:dyDescent="0.25">
      <c r="E110" s="52">
        <v>201.9</v>
      </c>
      <c r="F110" s="8">
        <v>5.7965906763848718E-2</v>
      </c>
      <c r="G110" s="8">
        <v>7.1622428675838679E-2</v>
      </c>
      <c r="H110" s="8">
        <v>8.4616328889946635E-2</v>
      </c>
      <c r="I110" s="8">
        <v>9.7015832368160693E-2</v>
      </c>
      <c r="J110" s="8">
        <v>0.10887882513606595</v>
      </c>
    </row>
    <row r="111" spans="2:10" x14ac:dyDescent="0.25">
      <c r="E111" s="52">
        <v>220.2</v>
      </c>
      <c r="F111" s="8">
        <v>7.6367313896663624E-2</v>
      </c>
      <c r="G111" s="8">
        <v>9.0268755075300744E-2</v>
      </c>
      <c r="H111" s="8">
        <v>0.10349535374952268</v>
      </c>
      <c r="I111" s="8">
        <v>0.11611662593802485</v>
      </c>
      <c r="J111" s="8">
        <v>0.12819154836729196</v>
      </c>
    </row>
    <row r="113" spans="4:10" x14ac:dyDescent="0.25">
      <c r="E113" s="39" t="s">
        <v>82</v>
      </c>
      <c r="F113" s="59" t="s">
        <v>81</v>
      </c>
      <c r="G113" s="59"/>
      <c r="H113" s="59"/>
      <c r="I113" s="59"/>
      <c r="J113" s="59"/>
    </row>
    <row r="114" spans="4:10" x14ac:dyDescent="0.25">
      <c r="E114" s="31">
        <f>C103</f>
        <v>1.3645400303176514</v>
      </c>
      <c r="F114" s="32">
        <v>7.5</v>
      </c>
      <c r="G114" s="32">
        <v>8</v>
      </c>
      <c r="H114" s="32">
        <v>8.5</v>
      </c>
      <c r="I114" s="32">
        <v>9</v>
      </c>
      <c r="J114" s="32">
        <v>9.5</v>
      </c>
    </row>
    <row r="115" spans="4:10" x14ac:dyDescent="0.25">
      <c r="E115" s="52">
        <v>146.80000000000001</v>
      </c>
      <c r="F115" s="7">
        <f t="dataTable" ref="F115:J119" dt2D="1" dtr="1" r1="J93" r2="J94"/>
        <v>0.96608695652173915</v>
      </c>
      <c r="G115" s="7">
        <v>1.0299130434782608</v>
      </c>
      <c r="H115" s="7">
        <v>1.0937391304347828</v>
      </c>
      <c r="I115" s="7">
        <v>1.1575652173913045</v>
      </c>
      <c r="J115" s="7">
        <v>1.2213913043478262</v>
      </c>
    </row>
    <row r="116" spans="4:10" x14ac:dyDescent="0.25">
      <c r="E116" s="52">
        <v>165.2</v>
      </c>
      <c r="F116" s="7">
        <v>1.086086956521739</v>
      </c>
      <c r="G116" s="7">
        <v>1.1579130434782607</v>
      </c>
      <c r="H116" s="7">
        <v>1.2297391304347824</v>
      </c>
      <c r="I116" s="7">
        <v>1.3015652173913044</v>
      </c>
      <c r="J116" s="7">
        <v>1.3733913043478259</v>
      </c>
    </row>
    <row r="117" spans="4:10" x14ac:dyDescent="0.25">
      <c r="D117" t="s">
        <v>35</v>
      </c>
      <c r="E117" s="52">
        <v>183.5</v>
      </c>
      <c r="F117" s="7">
        <v>1.2054347826086957</v>
      </c>
      <c r="G117" s="7">
        <v>1.2852173913043479</v>
      </c>
      <c r="H117" s="7">
        <v>1.365</v>
      </c>
      <c r="I117" s="7">
        <v>1.4447826086956521</v>
      </c>
      <c r="J117" s="7">
        <v>1.5245652173913042</v>
      </c>
    </row>
    <row r="118" spans="4:10" x14ac:dyDescent="0.25">
      <c r="E118" s="52">
        <v>201.9</v>
      </c>
      <c r="F118" s="7">
        <v>1.3254347826086956</v>
      </c>
      <c r="G118" s="7">
        <v>1.4132173913043478</v>
      </c>
      <c r="H118" s="7">
        <v>1.5010000000000001</v>
      </c>
      <c r="I118" s="7">
        <v>1.5887826086956522</v>
      </c>
      <c r="J118" s="7">
        <v>1.6765652173913044</v>
      </c>
    </row>
    <row r="119" spans="4:10" x14ac:dyDescent="0.25">
      <c r="E119" s="52">
        <v>220.2</v>
      </c>
      <c r="F119" s="7">
        <v>1.4447826086956521</v>
      </c>
      <c r="G119" s="7">
        <v>1.5405217391304347</v>
      </c>
      <c r="H119" s="7">
        <v>1.6362608695652172</v>
      </c>
      <c r="I119" s="7">
        <v>1.732</v>
      </c>
      <c r="J119" s="7">
        <v>1.8277391304347828</v>
      </c>
    </row>
  </sheetData>
  <mergeCells count="8">
    <mergeCell ref="F105:J105"/>
    <mergeCell ref="F113:J113"/>
    <mergeCell ref="B2:J2"/>
    <mergeCell ref="M2:Q2"/>
    <mergeCell ref="B39:J39"/>
    <mergeCell ref="B62:J62"/>
    <mergeCell ref="B91:J91"/>
    <mergeCell ref="E104:J10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LBOModel</vt:lpstr>
      <vt:lpstr>LBOModel - no debt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JWC</dc:creator>
  <cp:keywords/>
  <dc:description/>
  <cp:lastModifiedBy>JWC</cp:lastModifiedBy>
  <cp:revision/>
  <dcterms:created xsi:type="dcterms:W3CDTF">2023-11-02T05:28:58Z</dcterms:created>
  <dcterms:modified xsi:type="dcterms:W3CDTF">2025-11-27T02:31:28Z</dcterms:modified>
  <cp:category/>
  <cp:contentStatus/>
</cp:coreProperties>
</file>